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<sst xmlns="http://schemas.openxmlformats.org/spreadsheetml/2006/main" count="2070" uniqueCount="655">
  <si>
    <t xml:space="preserve">Приложение к постановлению  Правительства Камчатского края
от _______________ № ___________</t>
  </si>
  <si>
    <t xml:space="preserve">«Приложение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</si>
  <si>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</si>
  <si>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</si>
  <si>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</si>
  <si>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</si>
  <si>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</si>
  <si>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</si>
  <si>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</si>
  <si>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</si>
  <si>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</si>
  <si>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проекта,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</si>
  <si>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</si>
  <si>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</si>
  <si>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</si>
  <si>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</si>
  <si>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</si>
  <si>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</si>
  <si>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</si>
  <si>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</si>
  <si>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</si>
  <si>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</si>
  <si>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</si>
  <si>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</si>
  <si>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</si>
  <si>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</si>
  <si>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</si>
  <si>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</si>
  <si>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</si>
  <si>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</si>
  <si>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</si>
  <si>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</si>
  <si>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</si>
  <si>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</si>
  <si>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</si>
  <si>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</si>
  <si>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</si>
  <si>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</si>
  <si>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</si>
  <si>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</si>
  <si>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«Развитие здравоохранения Камчатского края»</t>
  </si>
  <si>
    <t xml:space="preserve">Министерство строительства и жилищной политики Камчатского края</t>
  </si>
  <si>
    <t xml:space="preserve">Региональный проект «Модернизация первичного звена здравоохранения Российской Федерации (Камчатский край)»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</si>
  <si>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</si>
  <si>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</si>
  <si>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«Карагинская районная больница»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</si>
  <si>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</si>
  <si>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</si>
  <si>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</si>
  <si>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</si>
  <si>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«Служба заказчика Министерства строительства и жилищной политики Камчатского края»</t>
  </si>
  <si>
    <t xml:space="preserve">Министерство здравоохранения Камчатского края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</si>
  <si>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</si>
  <si>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</si>
  <si>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</si>
  <si>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</si>
  <si>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</si>
  <si>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«Тигильская районная больница»</t>
  </si>
  <si>
    <t xml:space="preserve">Тигильский муниципальный округ</t>
  </si>
  <si>
    <t xml:space="preserve">182,4 кв. м</t>
  </si>
  <si>
    <t xml:space="preserve">КГКУ «Единая дирекция по строительству объекта «Камчатская краевая больница»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</si>
  <si>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</si>
  <si>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«Карагинская районная больница»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</si>
  <si>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</si>
  <si>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</si>
  <si>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</si>
  <si>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«Строительство Камчатской краевой больницы» 1 этап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</si>
  <si>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</si>
  <si>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</si>
  <si>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</si>
  <si>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</si>
  <si>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</si>
  <si>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</si>
  <si>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«Строительство Камчатской краевой больницы»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</si>
  <si>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</si>
  <si>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</si>
  <si>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</si>
  <si>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</si>
  <si>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</si>
  <si>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«Олюторская районная больница»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</si>
  <si>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</si>
  <si>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</si>
  <si>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</si>
  <si>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</si>
  <si>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26 000 кв. м</t>
  </si>
  <si>
    <t xml:space="preserve">8.</t>
  </si>
  <si>
    <t xml:space="preserve">Озерновская районная больница. Государственное бюджетное учреждение здравоохранения Камчатского края «Озерновская районная больница»  </t>
  </si>
  <si>
    <t xml:space="preserve">Усть-Большерецкий муниципальный округ</t>
  </si>
  <si>
    <t xml:space="preserve">2 500 кв. м</t>
  </si>
  <si>
    <t xml:space="preserve">государственная 
Камчатского края </t>
  </si>
  <si>
    <t xml:space="preserve">проектные работы</t>
  </si>
  <si>
    <t xml:space="preserve">9.</t>
  </si>
  <si>
    <t xml:space="preserve">Соболевская районная больница. Государственное бюджетное учреждение здравоохранения Камчатского края «Соболевская районная больница»</t>
  </si>
  <si>
    <t xml:space="preserve">Соболевский муниципальный район</t>
  </si>
  <si>
    <t xml:space="preserve">переходящие проектные работы, 
вновь начинаемый </t>
  </si>
  <si>
    <t xml:space="preserve">10.</t>
  </si>
  <si>
    <t xml:space="preserve">Быстринская районная больница. Государственное бюджетное учреждение здравоохранения Камчатского края «Быстринская районная больница»</t>
  </si>
  <si>
    <t xml:space="preserve">Быстринский муниципальный округ</t>
  </si>
  <si>
    <t xml:space="preserve">вновь начинаемый </t>
  </si>
  <si>
    <t xml:space="preserve">11.</t>
  </si>
  <si>
    <t xml:space="preserve">Елизовская районная больница (проектные работы)</t>
  </si>
  <si>
    <t xml:space="preserve">206 койко-мест</t>
  </si>
  <si>
    <t xml:space="preserve">переходящие проектные работы</t>
  </si>
  <si>
    <t xml:space="preserve">12.</t>
  </si>
  <si>
    <t xml:space="preserve">Государственная программа Камчатского края  «Развитие образования в Камчатском крае»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</si>
  <si>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</si>
  <si>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</si>
  <si>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</si>
  <si>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«Восход»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</si>
  <si>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</si>
  <si>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100 чел / смен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</si>
  <si>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</si>
  <si>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</si>
  <si>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</si>
  <si>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13.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</si>
  <si>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</si>
  <si>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</si>
  <si>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</si>
  <si>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</si>
  <si>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</si>
  <si>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 xml:space="preserve">КГАУ «Центр развития инфраструктуры  образования»</t>
  </si>
  <si>
    <t xml:space="preserve">Министерство образования Камчатского края, КГАУ «Центр развития инфраструктуры образования»</t>
  </si>
  <si>
    <t xml:space="preserve">14.</t>
  </si>
  <si>
    <t xml:space="preserve">Региональный проект  «Развитие инфраструктуры образования в Камчатском крае»</t>
  </si>
  <si>
    <t xml:space="preserve">0702</t>
  </si>
  <si>
    <t xml:space="preserve">Образование.
Общее образование</t>
  </si>
  <si>
    <t xml:space="preserve">Здание. Учебный корпус МБОУ «Средняя школа № 40 по ул. Вольского микрорайона «Северо-Восток» в г. Петропавловске – Камчатском</t>
  </si>
  <si>
    <t xml:space="preserve">Развитие инфраструктуры образования в Камчатском крае</t>
  </si>
  <si>
    <t xml:space="preserve">9 096,5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</si>
  <si>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</si>
  <si>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</si>
  <si>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</si>
  <si>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</si>
  <si>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15.</t>
  </si>
  <si>
    <t xml:space="preserve">Государственная программа Камчатского края «Развитие культуры в Камчатском крае»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</si>
  <si>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</si>
  <si>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</si>
  <si>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</si>
  <si>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«Корякская школа искусств им. Д.Б. Кабалевского»</t>
  </si>
  <si>
    <t xml:space="preserve">Городской округ «поселок Палана»</t>
  </si>
  <si>
    <t xml:space="preserve">Инвестиционные мероприятия в сфере культуры</t>
  </si>
  <si>
    <t xml:space="preserve">310 чел / 
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</si>
  <si>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</si>
  <si>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</si>
  <si>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</si>
  <si>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16.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</si>
  <si>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</si>
  <si>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</si>
  <si>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</si>
  <si>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
9 356,2 кв. м</t>
  </si>
  <si>
    <t xml:space="preserve">1 505 125,30000 
тыс. рублей</t>
  </si>
  <si>
    <t xml:space="preserve">от 25.09.2013  
№ 41-1-4-0085-13,  
от 26.09.2013  
№ 41-1-6-0086-13, 
от 29.06.2021 
№ 41-1-1-2-034657-2021
</t>
  </si>
  <si>
    <t xml:space="preserve">17.</t>
  </si>
  <si>
    <t xml:space="preserve">Культура,  кинематография.
Культура</t>
  </si>
  <si>
    <t xml:space="preserve">Сохранение объекта культурного наследия регионального значения «Дом № 13 по ул. Красинцев в г.Петропавловске-Камчатском»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</si>
  <si>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</si>
  <si>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 м</t>
  </si>
  <si>
    <t xml:space="preserve">Администрация Петропавловск-Камчатского городского округа</t>
  </si>
  <si>
    <t xml:space="preserve">100 056,32000 
тыс. рублей</t>
  </si>
  <si>
    <t xml:space="preserve">муниципальная</t>
  </si>
  <si>
    <t xml:space="preserve">от 24.11.2021 
№ 41-1-1-3-069533-2021</t>
  </si>
  <si>
    <t xml:space="preserve">18.</t>
  </si>
  <si>
    <t xml:space="preserve">Министерство имущественных и земельных отношений Камчатского края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</si>
  <si>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41:01:0010121:14 и расположенного на нём объекта недвижимого имущества)</t>
  </si>
  <si>
    <t xml:space="preserve">738 кв. м</t>
  </si>
  <si>
    <t xml:space="preserve">приобретение</t>
  </si>
  <si>
    <t xml:space="preserve">19.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</si>
  <si>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41:01:0010121:1979 и расположенных на нём объектов недвижимого имущества)</t>
  </si>
  <si>
    <t xml:space="preserve">1068 кв. м</t>
  </si>
  <si>
    <t xml:space="preserve">20.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</si>
  <si>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41:01:0010121:24 и расположенного на нём объекта недвижимого имущества)</t>
  </si>
  <si>
    <t xml:space="preserve">151 кв. м</t>
  </si>
  <si>
    <t xml:space="preserve">21.</t>
  </si>
  <si>
    <t xml:space="preserve">Государственная программа Камчатского края «Социальная поддержка граждан в Камчатском крае»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</si>
  <si>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</si>
  <si>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</si>
  <si>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</si>
  <si>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</si>
  <si>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</si>
  <si>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</si>
  <si>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2030 год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</si>
  <si>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</si>
  <si>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</si>
  <si>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2 077 500,00 
тыс. рублей</t>
  </si>
  <si>
    <t xml:space="preserve">22.</t>
  </si>
  <si>
    <t xml:space="preserve">Государственная программа Камчатского края «Развитие физической культуры и спорта в Камчатском крае»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</si>
  <si>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</si>
  <si>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</si>
  <si>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</si>
  <si>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в г. Петропавловске-Камчатском,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</si>
  <si>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</si>
  <si>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</si>
  <si>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</si>
  <si>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</si>
  <si>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</si>
  <si>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</si>
  <si>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23.</t>
  </si>
  <si>
    <t xml:space="preserve">Региональный проект «Развитие спортивной инфраструктуры»</t>
  </si>
  <si>
    <t xml:space="preserve">Физическая культура и спорт. 
 Массовый спорт</t>
  </si>
  <si>
    <t xml:space="preserve">Спортивно-тренировочный комплекс в г. Петропавловске-Камчатском, пр. Карла Маркса (проектные работы)</t>
  </si>
  <si>
    <t xml:space="preserve">Петропавловск-Камчатский городской округ
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</si>
  <si>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
учреждениям</t>
  </si>
  <si>
    <t xml:space="preserve">84 чел</t>
  </si>
  <si>
    <t xml:space="preserve">Министерство спорта Камчатского края
</t>
  </si>
  <si>
    <t xml:space="preserve">КГБУДО СШ по футболу </t>
  </si>
  <si>
    <t xml:space="preserve">24.</t>
  </si>
  <si>
    <t xml:space="preserve">Физическая культура и спорт. 
Спорт высших достижений</t>
  </si>
  <si>
    <t xml:space="preserve">Строительство здания многофункционального спортивного центра по биатлону в г. Петропавловске-Камчатском</t>
  </si>
  <si>
    <t xml:space="preserve">2022 год</t>
  </si>
  <si>
    <t xml:space="preserve">76 чел</t>
  </si>
  <si>
    <t xml:space="preserve">КГАУДО «СШОР по ЗВС»</t>
  </si>
  <si>
    <t xml:space="preserve">323 383,99000 
тыс. рублей</t>
  </si>
  <si>
    <t xml:space="preserve">  вновь начинаемый СМР</t>
  </si>
  <si>
    <t xml:space="preserve">от 17.06.2022 
№ 41-1-1-3-038710-2022</t>
  </si>
  <si>
    <t xml:space="preserve">25.</t>
  </si>
  <si>
    <t xml:space="preserve">Строительство легкоатлетического манежа в г. Петропавловске- Камчатском» (проектные работы)
</t>
  </si>
  <si>
    <t xml:space="preserve">КГАУ Центр спортивной подготовки Камчатского края</t>
  </si>
  <si>
    <t xml:space="preserve">26.</t>
  </si>
  <si>
    <t xml:space="preserve">Государственная программа Камчатского края «Развитие экономики и внешнеэкономической деятельности Камчатского края»</t>
  </si>
  <si>
    <t xml:space="preserve">Министерство экономического развития Камчатского края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</si>
  <si>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</si>
  <si>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</si>
  <si>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
Другие общегосударственные вопросы</t>
  </si>
  <si>
    <t xml:space="preserve">Строительство объекта «Система снабжения термоминеральными водами резидентов площадки ТРК «Зеленовские озерки» ТОР «Камчатка», Елизовский муниципальный район, Камчатского края Кеткинского месторождения термоминеральных вод» (I, V этапы)</t>
  </si>
  <si>
    <t xml:space="preserve">Елизовкий муниципальный район, Раздольненское сельское поселение</t>
  </si>
  <si>
    <t xml:space="preserve"> Создание инфраструктуры территории опережающего развития «Камчатка»</t>
  </si>
  <si>
    <t xml:space="preserve">бюджетные инвестиции иным юридическим лицам в объекты капитального строительства</t>
  </si>
  <si>
    <t xml:space="preserve">22 л/с</t>
  </si>
  <si>
    <t xml:space="preserve">АО "Тепло земли"</t>
  </si>
  <si>
    <t xml:space="preserve">1 721 034,01000 
тыс. рублей</t>
  </si>
  <si>
    <t xml:space="preserve">собственность юридического лица</t>
  </si>
  <si>
    <t xml:space="preserve">от 13.12.2024
№ 41-1-1-2-075400-2024 </t>
  </si>
  <si>
    <t xml:space="preserve">27.</t>
  </si>
  <si>
    <t xml:space="preserve">Государственная программа Камчатского края «Обеспечение доступным и комфортным жильем жителей Камчатского края»</t>
  </si>
  <si>
    <t xml:space="preserve">Региональный проект «Жилье»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</si>
  <si>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</si>
  <si>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</si>
  <si>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</si>
  <si>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</si>
  <si>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</si>
  <si>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28.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</si>
  <si>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</si>
  <si>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</si>
  <si>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</si>
  <si>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29.</t>
  </si>
  <si>
    <t xml:space="preserve">30.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</si>
  <si>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</si>
  <si>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</si>
  <si>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</si>
  <si>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31.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</si>
  <si>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</si>
  <si>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</si>
  <si>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32.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</si>
  <si>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</si>
  <si>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</si>
  <si>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33.</t>
  </si>
  <si>
    <t xml:space="preserve">Елизовский муниципальный район, Раздольненское сельское поселение </t>
  </si>
  <si>
    <t xml:space="preserve">Раздольненское сельское поселение </t>
  </si>
  <si>
    <t xml:space="preserve">Администрация Раздольненского сельского поселения </t>
  </si>
  <si>
    <t xml:space="preserve">34.</t>
  </si>
  <si>
    <t xml:space="preserve">Администрация Тигильского муниципального округа</t>
  </si>
  <si>
    <t xml:space="preserve">35.</t>
  </si>
  <si>
    <t xml:space="preserve">Елизовский муниципальный район, Пионерское сельское поселение</t>
  </si>
  <si>
    <t xml:space="preserve">Пионерское сельское поселение</t>
  </si>
  <si>
    <t xml:space="preserve">Администрация Пионерского сельского поселения</t>
  </si>
  <si>
    <t xml:space="preserve">36.</t>
  </si>
  <si>
    <t xml:space="preserve">Елизовский муниципальный район, Новоавачинское сельское поселение</t>
  </si>
  <si>
    <t xml:space="preserve">Новоавачинское сельское поселение</t>
  </si>
  <si>
    <t xml:space="preserve">Администрация Новоавачинского сельского поселения</t>
  </si>
  <si>
    <t xml:space="preserve">37.</t>
  </si>
  <si>
    <t xml:space="preserve">Вилючинский городской округ</t>
  </si>
  <si>
    <t xml:space="preserve">Администрация Вилючинского городского округа</t>
  </si>
  <si>
    <t xml:space="preserve">38.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</si>
  <si>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</si>
  <si>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</si>
  <si>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39.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</si>
  <si>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</si>
  <si>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</si>
  <si>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40.</t>
  </si>
  <si>
    <t xml:space="preserve">Усть-Большерецский муниципальный округ</t>
  </si>
  <si>
    <t xml:space="preserve">Администрация Усть-Большерецского муниципального округа</t>
  </si>
  <si>
    <t xml:space="preserve">41.</t>
  </si>
  <si>
    <t xml:space="preserve">Олюторский муниципальный район, сельское поселение "село Хаилино"</t>
  </si>
  <si>
    <t xml:space="preserve">сельское поселение "село Хаилино"</t>
  </si>
  <si>
    <t xml:space="preserve">Администрация, сельского поселения "село Хаилино"</t>
  </si>
  <si>
    <t xml:space="preserve">42.</t>
  </si>
  <si>
    <t xml:space="preserve">Пенжинский муниципальный район, сельское поселение "село Аянка"</t>
  </si>
  <si>
    <t xml:space="preserve">сельское поселение "село Аянка"</t>
  </si>
  <si>
    <t xml:space="preserve">Администрация сельского поселения "село Аянка"</t>
  </si>
  <si>
    <t xml:space="preserve">43.</t>
  </si>
  <si>
    <t xml:space="preserve">Региональный проект «Повышение устойчивости жилых домов, основных объектов и систем жизнеобеспечения»</t>
  </si>
  <si>
    <t xml:space="preserve">Комплекс многоквартирных домов в жилом районе Приморский города Вилючинска Камчатского края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</si>
  <si>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</si>
  <si>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</si>
  <si>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</si>
  <si>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</si>
  <si>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44.</t>
  </si>
  <si>
    <t xml:space="preserve">Переселение граждан из аварийного жилищного фонда признанного таковым до 1 января 2017 года</t>
  </si>
  <si>
    <t xml:space="preserve">Министерство строительства и жилищной политики Камчатского края </t>
  </si>
  <si>
    <t xml:space="preserve">45.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</si>
  <si>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</si>
  <si>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хозяйство.  
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</si>
  <si>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«О порядке предоставления жилых помещений жилищного фонда Камчатского края по договору социального найма» </t>
  </si>
  <si>
    <t xml:space="preserve">Петропавловск-Камчатский городской округ, 
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</si>
  <si>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</si>
  <si>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</si>
  <si>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46.</t>
  </si>
  <si>
    <t xml:space="preserve">Государственная программа Камчатского края «Энергоэффективность, развитие энергетики и коммунального хозяйства, обеспечение жителей населенных пунктов Камчатского края коммунальными услугами»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</si>
  <si>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</si>
  <si>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</si>
  <si>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</si>
  <si>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</si>
  <si>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</si>
  <si>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Елизовский муниципальный район, 
Елизовское городское поселение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</si>
  <si>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</si>
  <si>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</si>
  <si>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КГУП «Камчатский водоканал»</t>
  </si>
  <si>
    <t xml:space="preserve">Министерство жилищно-коммунального хозяйства  и энергетики Камчатского края 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</si>
  <si>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</si>
  <si>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</si>
  <si>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</si>
  <si>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47.</t>
  </si>
  <si>
    <t xml:space="preserve">Региональный проект «Обеспечение модернизации, реконструкции и строительства объектов систем энерго-, теплоснабжения»</t>
  </si>
  <si>
    <t xml:space="preserve">Реконструкция котельной № 20 (ул. Деркачева) с передачей нагрузок котельной № 10 с учетом реконструкции тепловых сетей котельных</t>
  </si>
  <si>
    <t xml:space="preserve">Обеспечение модернизации, реконструкции и строительства объектов систем энерго-, теплоснабжения</t>
  </si>
  <si>
    <t xml:space="preserve">15,3 Гкал / час</t>
  </si>
  <si>
    <t xml:space="preserve">547 764,89373
тыс. рублей</t>
  </si>
  <si>
    <t xml:space="preserve">от 28.06.2022 
№ 41-1-1-3-041607-2022;
от 19.10.2022 
№ 41-1-1-2-073756-2022 </t>
  </si>
  <si>
    <t xml:space="preserve">48.</t>
  </si>
  <si>
    <t xml:space="preserve">Региональный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</si>
  <si>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</si>
  <si>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экономика.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</si>
  <si>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</si>
  <si>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</si>
  <si>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</si>
  <si>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КГКУ  «Дирекция по строительству объекта «Регазификационный комплекс СПГ в  Камчатском крае»</t>
  </si>
  <si>
    <t xml:space="preserve">13 422 826,32218 
тыс. рублей</t>
  </si>
  <si>
    <t xml:space="preserve">от 22.12.2023 
№ 41-1-1-3-080447-2023</t>
  </si>
  <si>
    <t xml:space="preserve">49.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</si>
  <si>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</si>
  <si>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</si>
  <si>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</si>
  <si>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</si>
  <si>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50.</t>
  </si>
  <si>
    <t xml:space="preserve">Строительство КНС -1/1Е, со строительством сетей водоотведения по ул. Береговой, Октябрьской, Мирная</t>
  </si>
  <si>
    <t xml:space="preserve">51.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</si>
  <si>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</si>
  <si>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</si>
  <si>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</si>
  <si>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
№ 41-1-1-3-011418-2024</t>
  </si>
  <si>
    <t xml:space="preserve">52.</t>
  </si>
  <si>
    <t xml:space="preserve">Строительство КНС «Заречная» производительностью 3500 м3/сутки со строительством напорных коллекторов Д-200  в г. Елизово</t>
  </si>
  <si>
    <t xml:space="preserve">53.</t>
  </si>
  <si>
    <t xml:space="preserve">Реконструкция КОС-29 км (район «Аэропорт») </t>
  </si>
  <si>
    <t xml:space="preserve">10 000 м. куб / сут</t>
  </si>
  <si>
    <t xml:space="preserve">54.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</si>
  <si>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</si>
  <si>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55.</t>
  </si>
  <si>
    <t xml:space="preserve">Реконструкция системы водоотведения центральной части г. Петропавловска-Камчатского. Канализационная насосная станция КНС «Мехзавод»</t>
  </si>
  <si>
    <t xml:space="preserve">7 487,07 м. куб / сут</t>
  </si>
  <si>
    <t xml:space="preserve">319 763,60000 
тыс. рублей</t>
  </si>
  <si>
    <t xml:space="preserve">от 15.06.2022 
№ 41-1-1-2-037934-2022 </t>
  </si>
  <si>
    <t xml:space="preserve">56.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</si>
  <si>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 (в том числе проектные работы)</t>
  </si>
  <si>
    <t xml:space="preserve"> 150 м. куб / сут</t>
  </si>
  <si>
    <t xml:space="preserve">57.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</si>
  <si>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</si>
  <si>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 1 000 м. куб / сут</t>
  </si>
  <si>
    <t xml:space="preserve">58.</t>
  </si>
  <si>
    <t xml:space="preserve">Жилищно-коммунальное хозяйство. 
Коммунальное хозяйство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</si>
  <si>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</si>
  <si>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</si>
  <si>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</si>
  <si>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252 632,60000 
тыс. рублей</t>
  </si>
  <si>
    <t xml:space="preserve">от 01.12.2022 
№ 41-1-1-2-084253-2022</t>
  </si>
  <si>
    <t xml:space="preserve">59.</t>
  </si>
  <si>
    <t xml:space="preserve">Региональный проект «Модернизация коммунальной инфраструктуры»</t>
  </si>
  <si>
    <t xml:space="preserve">Реконструкция напорного коллектора Д-700</t>
  </si>
  <si>
    <t xml:space="preserve">Модернизация коммунальной инфраструктуры</t>
  </si>
  <si>
    <t xml:space="preserve">2023 год</t>
  </si>
  <si>
    <t xml:space="preserve">4291,55 м</t>
  </si>
  <si>
    <t xml:space="preserve">885 947,08000
тыс. рублей</t>
  </si>
  <si>
    <t xml:space="preserve">от 06.02.2023 
№ 41-1-1-3-005073-2023</t>
  </si>
  <si>
    <t xml:space="preserve">60.</t>
  </si>
  <si>
    <t xml:space="preserve">Строительство КНС «Заречная» производительностью 3500 м3/сутки со строительством напорных коллекторов Д-200 (проектные работы)</t>
  </si>
  <si>
    <t xml:space="preserve">3500 м. куб / сут</t>
  </si>
  <si>
    <t xml:space="preserve">29 298,00000
тыс. рублей</t>
  </si>
  <si>
    <t xml:space="preserve">переходящий (разработка проектной документации)</t>
  </si>
  <si>
    <t xml:space="preserve">61.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</si>
  <si>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</si>
  <si>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 куб / сут</t>
  </si>
  <si>
    <t xml:space="preserve">811 663,58000
тыс. рублей</t>
  </si>
  <si>
    <t xml:space="preserve">от 12.05.2022 
№ 41-1-1-3-028782-2022</t>
  </si>
  <si>
    <t xml:space="preserve">62.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</si>
  <si>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</si>
  <si>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 куб / сут</t>
  </si>
  <si>
    <t xml:space="preserve">МКУ «Управление капитального строительства и ремонта»</t>
  </si>
  <si>
    <t xml:space="preserve">207 756,05728 
тыс. рублей</t>
  </si>
  <si>
    <t xml:space="preserve">от 12.04.2023 
№ 41-1-1-2-018415-2023 </t>
  </si>
  <si>
    <t xml:space="preserve">63.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</si>
  <si>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</si>
  <si>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</si>
  <si>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2 748 м</t>
  </si>
  <si>
    <t xml:space="preserve">66 062,52000 
тыс. рублей</t>
  </si>
  <si>
    <t xml:space="preserve">64.</t>
  </si>
  <si>
    <t xml:space="preserve">Техническое перевооружение котельной жилого района «Приморский», установленной тепловой мощностью 44,8 ГКал/ч по адресу ул. Приморская д.19, с переводом на природный газ (проектные работы)</t>
  </si>
  <si>
    <t xml:space="preserve">Обеспечение модернизации, реконструкции и строительства объектов систем энерго-, теплоснабжения
</t>
  </si>
  <si>
    <t xml:space="preserve">44,8 Гкал / час</t>
  </si>
  <si>
    <t xml:space="preserve">308 637,06774 
тыс. рублей</t>
  </si>
  <si>
    <t xml:space="preserve">65.</t>
  </si>
  <si>
    <t xml:space="preserve">Техническое перевооружение котельной жилого района «Рыбачий», установленной тепловой мощностью 56,0 ГКал/ч по адресу ул. Вилкова д.5, с переводом на природный газ (проектные работы)</t>
  </si>
  <si>
    <t xml:space="preserve">56,0 Гкал / час</t>
  </si>
  <si>
    <t xml:space="preserve">190 503,94275
тыс. рублей</t>
  </si>
  <si>
    <t xml:space="preserve">66.</t>
  </si>
  <si>
    <t xml:space="preserve">Строительство системы водоснабжения в с. Средние Пахачи Олюторского района Камчатского края (проектные работы)</t>
  </si>
  <si>
    <t xml:space="preserve"> Олюторский муниципальный район, 
сельское поселение «село Средние Пахачи»</t>
  </si>
  <si>
    <t xml:space="preserve">сельское поселение «село Средние Пахачи»</t>
  </si>
  <si>
    <t xml:space="preserve">Администрация сельского поселения «село Средние Пахачи»</t>
  </si>
  <si>
    <t xml:space="preserve">67.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</si>
  <si>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5</t>
  </si>
  <si>
    <t xml:space="preserve">Усть-Камчатский муниципальный округ село Ключи</t>
  </si>
  <si>
    <t xml:space="preserve">33,53 м. куб / час </t>
  </si>
  <si>
    <t xml:space="preserve">24 778,00000 
тыс. рублей</t>
  </si>
  <si>
    <t xml:space="preserve">вновь начинаемый СМР</t>
  </si>
  <si>
    <t xml:space="preserve">от 06.05.2024 
№ 41-1-1-2-021592-2024 </t>
  </si>
  <si>
    <t xml:space="preserve">68.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</si>
  <si>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6</t>
  </si>
  <si>
    <t xml:space="preserve">34,53 м. куб / час </t>
  </si>
  <si>
    <t xml:space="preserve">8 233,28000 
тыс. рублей</t>
  </si>
  <si>
    <t xml:space="preserve">от 19.04.2024 
№ 41-1-1-2-018618-2024 </t>
  </si>
  <si>
    <t xml:space="preserve">69.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</si>
  <si>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7</t>
  </si>
  <si>
    <t xml:space="preserve">35,53 м. куб / час </t>
  </si>
  <si>
    <t xml:space="preserve">27 192,95000 
тыс. рублей</t>
  </si>
  <si>
    <t xml:space="preserve">от 13.05.2024 
№ 41-1-1-2-022453-2024 </t>
  </si>
  <si>
    <t xml:space="preserve">70.</t>
  </si>
  <si>
    <t xml:space="preserve">Строительство водозаборных сооружений и системы водоснабжения села Вывенка Олюторского района (проектные работы)</t>
  </si>
  <si>
    <t xml:space="preserve">Олюторский муниципальный район сельское поселение "село Вывенка"</t>
  </si>
  <si>
    <t xml:space="preserve">сельское поселение "село Вывенка"</t>
  </si>
  <si>
    <t xml:space="preserve">Министерство жилищно-коммунального хозяйства и  энергетики  Камчатского края</t>
  </si>
  <si>
    <t xml:space="preserve">Администрация сельского поселение "село Вывенка"</t>
  </si>
  <si>
    <t xml:space="preserve">муниципальная </t>
  </si>
  <si>
    <t xml:space="preserve">71.</t>
  </si>
  <si>
    <t xml:space="preserve">Государственная программа Камчатского края «Развитие транспортной системы в Камчатском крае»</t>
  </si>
  <si>
    <t xml:space="preserve">Министерство транспорта и дорожного строительства Камчатского края</t>
  </si>
  <si>
    <t xml:space="preserve">Региональный проект «Обновление парка транспортных средств организаций водного транспорта»</t>
  </si>
  <si>
    <t xml:space="preserve">0408</t>
  </si>
  <si>
    <t xml:space="preserve">Национальная экономика.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</si>
  <si>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</si>
  <si>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</si>
  <si>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</si>
  <si>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</si>
  <si>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72.</t>
  </si>
  <si>
    <t xml:space="preserve">Региональный проект «Создание номерного фонда, инфраструктуры и новых точек притяжения»</t>
  </si>
  <si>
    <t xml:space="preserve">0409</t>
  </si>
  <si>
    <t xml:space="preserve">Национальная экономика.
Дорожное хозяйство (дорожные фонды)</t>
  </si>
  <si>
    <t xml:space="preserve">Автомобильная дорога общего пользования регионального значения Камчатского края «п. Термальный - туристский кластер «Три вулкана»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</si>
  <si>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</si>
  <si>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</si>
  <si>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«Управление автомобильных дорог Камчатского края»</t>
  </si>
  <si>
    <t xml:space="preserve">8 269 542,15600 
тыс. рублей</t>
  </si>
  <si>
    <t xml:space="preserve">от 17.12.2021 
№ 41-1-1-3-078735-2021 </t>
  </si>
  <si>
    <t xml:space="preserve">73.</t>
  </si>
  <si>
    <t xml:space="preserve">Региональный проект «Проектирование, строительство и реконструкция автомобильных дорог регионального, межмуниципального  и местного значения»</t>
  </si>
  <si>
    <t xml:space="preserve">Национальная экономика. 
Дорожное хозяйство (дорожные фонды)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</si>
  <si>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</si>
  <si>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</si>
  <si>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</si>
  <si>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</si>
  <si>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</si>
  <si>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74.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</si>
  <si>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</si>
  <si>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</si>
  <si>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</si>
  <si>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</si>
  <si>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</si>
  <si>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75.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</si>
  <si>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</si>
  <si>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</si>
  <si>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</si>
  <si>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</si>
  <si>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76.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</si>
  <si>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 шоссе до ул. Солнечная в г. Петропавловске-Камчатском»</t>
  </si>
  <si>
    <t xml:space="preserve">7,57632 км</t>
  </si>
  <si>
    <t xml:space="preserve">6 511 986,21111
тыс. рублей</t>
  </si>
  <si>
    <t xml:space="preserve">от 26.07.2022 
№ 41-1-1-1-050838-2022;
от 28.02.2023 
№ 41-1-1-2-008908-2023</t>
  </si>
  <si>
    <t xml:space="preserve">77.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</si>
  <si>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</si>
  <si>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0,078 км</t>
  </si>
  <si>
    <t xml:space="preserve">113 447,20000 
тыс. рублей  </t>
  </si>
  <si>
    <t xml:space="preserve">78.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</si>
  <si>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</si>
  <si>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</si>
  <si>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</si>
  <si>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79.</t>
  </si>
  <si>
    <t xml:space="preserve">Строительство примыкания к автомобильной дороге по ул. Ломоносова от микрорайона «Северный»</t>
  </si>
  <si>
    <t xml:space="preserve">80.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</si>
  <si>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</si>
  <si>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</si>
  <si>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</si>
  <si>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81.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</si>
  <si>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</si>
  <si>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</si>
  <si>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</si>
  <si>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</si>
  <si>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</si>
  <si>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</si>
  <si>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82.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</si>
  <si>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</si>
  <si>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</si>
  <si>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Петропавловск-Камчатского городского округа</t>
  </si>
  <si>
    <t xml:space="preserve">246 364,68526  
тыс. рублей</t>
  </si>
  <si>
    <t xml:space="preserve">от 05.09.2022 
№ 41-1-1-3-063526-2022</t>
  </si>
  <si>
    <t xml:space="preserve">83.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</si>
  <si>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</t>
  </si>
  <si>
    <t xml:space="preserve">2024 год</t>
  </si>
  <si>
    <t xml:space="preserve">1,5 км (уточнится проектом)</t>
  </si>
  <si>
    <t xml:space="preserve">685 534,00200 
тыс. рублей (уточнится проектом)</t>
  </si>
  <si>
    <t xml:space="preserve">84.</t>
  </si>
  <si>
    <t xml:space="preserve">Реконструкция автомобильной дороги Петропавловск-Камчатский – Мильково на участке км 12 - км 17 с подъездом к федеральной дороге 2 этап</t>
  </si>
  <si>
    <t xml:space="preserve">4,944 км (уточнится проектом)</t>
  </si>
  <si>
    <t xml:space="preserve">2 890 818,92200 
тыс. рублей 
(уточнится проектом)</t>
  </si>
  <si>
    <t xml:space="preserve">85.</t>
  </si>
  <si>
    <t xml:space="preserve">Строительство подъезда к проектируемому аэровокзалу в г. Елизово от автомобильной дороги А-401 «Подъездная дорога от морского порта Петропавловск-Камчатский к аэропорту Петропавловск-Камчатский (Елизово) на участке км 34»</t>
  </si>
  <si>
    <t xml:space="preserve">2020 год</t>
  </si>
  <si>
    <t xml:space="preserve">2,91412 км</t>
  </si>
  <si>
    <t xml:space="preserve">1 212 202,29000 
тыс. рублей</t>
  </si>
  <si>
    <t xml:space="preserve">от 23.07.2020 
№ 41-1-1-3-033132-2020;  
От 27.12.2023 
№ 41-1-1-3-081990-2023</t>
  </si>
  <si>
    <t xml:space="preserve">86.</t>
  </si>
  <si>
    <t xml:space="preserve">Строительство автомобильной дороги от пос. Заозерный до Халактырского пляжа</t>
  </si>
  <si>
    <t xml:space="preserve">4,49 км</t>
  </si>
  <si>
    <t xml:space="preserve">МКУ «Служба автомобильных дорог» </t>
  </si>
  <si>
    <t xml:space="preserve">897 660,90000 
тыс. рублей</t>
  </si>
  <si>
    <t xml:space="preserve">от 28.12.2022 
№ 41-1-1-3-093556-2022</t>
  </si>
  <si>
    <t xml:space="preserve">87.</t>
  </si>
  <si>
    <t xml:space="preserve">Строительство автомобильной дороги Анавгай - Палана на участке км 225 - км 231</t>
  </si>
  <si>
    <t xml:space="preserve">строительная длина 6,73899 км </t>
  </si>
  <si>
    <t xml:space="preserve">КГКУ "Управление автомобильных дорог Камчатского края"</t>
  </si>
  <si>
    <t xml:space="preserve">894 925,71000 
тыс. рублей</t>
  </si>
  <si>
    <t xml:space="preserve">от 23.05.2017 
№ 41-1-1-3-0033-17; 
от 29.09.2017 
№ 1-1-6-0073-17</t>
  </si>
  <si>
    <t xml:space="preserve">88.</t>
  </si>
  <si>
    <t xml:space="preserve">Строительство мостового перехода через р. Тигиль на 224 км автомобильной дороги Анавгай — Палана</t>
  </si>
  <si>
    <t xml:space="preserve">строительная длина 5 км; мосты 1 шт / 330,1 м</t>
  </si>
  <si>
    <t xml:space="preserve">4 117 026,30500 
тыс. рублей </t>
  </si>
  <si>
    <t xml:space="preserve">от 16.11.2017 
№ 41-1-1-3-0083-17; 
от 28.12.2017 
№ 41-1-0120-17</t>
  </si>
  <si>
    <t xml:space="preserve">89.</t>
  </si>
  <si>
    <t xml:space="preserve">Реконструкция участка автомобильной дороги км 1,000 - км 1,300 по ул. Ленинградская с транспортной развязкой на пересечении улиц Набережная и Максутова (проектные работы)</t>
  </si>
  <si>
    <t xml:space="preserve">0,65 км</t>
  </si>
  <si>
    <t xml:space="preserve">90.</t>
  </si>
  <si>
    <t xml:space="preserve">Государственная программа Камчатского края «Охрана окружающей среды, воспроизводство и использование природных ресурсов в Камчатском крае»</t>
  </si>
  <si>
    <t xml:space="preserve">Министерство природных ресурсов и экологии Камчатского края</t>
  </si>
  <si>
    <t xml:space="preserve">Региональный проект «Инвестиционные мероприятия в сфере проектирования и строительства гидротехнических сооружений инженерной защиты и берегоукрепления»</t>
  </si>
  <si>
    <t xml:space="preserve">0406</t>
  </si>
  <si>
    <t xml:space="preserve">Национальная экономика. 
Водное хозяйство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</si>
  <si>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</si>
  <si>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
село Мильково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</si>
  <si>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</si>
  <si>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4 463 п. м</t>
  </si>
  <si>
    <t xml:space="preserve">270 000,00000 
тыс. рублей</t>
  </si>
  <si>
    <t xml:space="preserve">91.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</si>
  <si>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</si>
  <si>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92.</t>
  </si>
  <si>
    <t xml:space="preserve">Государственная программа Камчатского края «Безопасная Камчатка»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</si>
  <si>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</si>
  <si>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</si>
  <si>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</si>
  <si>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</si>
  <si>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«Пожарное депо на 2 выезда» в п. Озерновский</t>
  </si>
  <si>
    <t xml:space="preserve">Усть-Большерецкий муниципальный округ, 
поселок Озерновский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</si>
  <si>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</si>
  <si>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</si>
  <si>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</si>
  <si>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</si>
  <si>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</si>
  <si>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93.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</si>
  <si>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</si>
  <si>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
Пионерское сельское поселение, 
Поселок Светлый.</t>
  </si>
  <si>
    <t xml:space="preserve">Инвестиционные мероприятия в области пожарной безопасности
</t>
  </si>
  <si>
    <t xml:space="preserve">94.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</si>
  <si>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</si>
  <si>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 куб</t>
  </si>
  <si>
    <t xml:space="preserve">24 880,86400
тыс. рублей</t>
  </si>
  <si>
    <t xml:space="preserve">от 23.08.2024 
№ 41-1-1-2-048794-2024</t>
  </si>
  <si>
    <t xml:space="preserve">95.</t>
  </si>
  <si>
    <t xml:space="preserve">Государственная программа Камчатского края «Обращение с отходами производства и потребления в Камчатском крае»</t>
  </si>
  <si>
    <t xml:space="preserve">Региональный проект «Экономика замкнутого цикла»</t>
  </si>
  <si>
    <t xml:space="preserve">0605</t>
  </si>
  <si>
    <t xml:space="preserve">Охрана окружающей среды.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</si>
  <si>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</si>
  <si>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«поселок Палана»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</si>
  <si>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</si>
  <si>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</si>
  <si>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Администрация городского округа «поселок Палана»</t>
  </si>
  <si>
    <t xml:space="preserve">96.</t>
  </si>
  <si>
    <t xml:space="preserve">Охрана окружающей среды. 
Другие вопросы в области охраны окружающей среды</t>
  </si>
  <si>
    <t xml:space="preserve">Строительство межмуниципального объекта «Комплекс по обработке, утилизации, обезвреживанию и размещению отходов в Петропавловск-Камчатском городском округе» (Экотехнопарк)</t>
  </si>
  <si>
    <t xml:space="preserve">100 000 тонн / год</t>
  </si>
  <si>
    <t xml:space="preserve">АО «Спецтранс»</t>
  </si>
  <si>
    <t xml:space="preserve">97.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</si>
  <si>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</si>
  <si>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3 200 тонн / год</t>
  </si>
  <si>
    <t xml:space="preserve">98.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</si>
  <si>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</si>
  <si>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2 500 тонн / год</t>
  </si>
  <si>
    <t xml:space="preserve">99.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</si>
  <si>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</si>
  <si>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100.</t>
  </si>
  <si>
    <t xml:space="preserve">Государственная программа Камчатского края «Формирование современной городской среды в Камчатском крае»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</si>
  <si>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</si>
  <si>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«О концессионных соглашениях»)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</si>
  <si>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</si>
  <si>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</si>
  <si>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101.</t>
  </si>
  <si>
    <t xml:space="preserve">Государственная программа Камчатского края «Комплексное развитие сельских территорий Камчатского края»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</si>
  <si>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</si>
  <si>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«Современный облик сельских территорий»</t>
  </si>
  <si>
    <t xml:space="preserve">Учебный корпус МБОУ «Елизовская средняя школа №1 им. М.В. Ломоносова»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</si>
  <si>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</si>
  <si>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</si>
  <si>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</si>
  <si>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</si>
  <si>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</si>
  <si>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</si>
  <si>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102.</t>
  </si>
  <si>
    <t xml:space="preserve">1101</t>
  </si>
  <si>
    <t xml:space="preserve">Физическая культура и спорт.
Физическая культура</t>
  </si>
  <si>
    <t xml:space="preserve">Строительство «Ледовый дворец в г. Елизово»</t>
  </si>
  <si>
    <t xml:space="preserve">пропускная способность в сутки, будние дни — 490 человек;
пропускная способность в сутки, выходные и праздничные дни — 
1 120 человек</t>
  </si>
  <si>
    <t xml:space="preserve">1 087 619,06000  
тыс. рублей</t>
  </si>
  <si>
    <t xml:space="preserve">от 19.10.2022 
№ 41-1-1-2-073750-2022</t>
  </si>
  <si>
    <t xml:space="preserve">103.</t>
  </si>
  <si>
    <t xml:space="preserve">Спортивный зал в Ключевском сельском поселении Усть- Камчатского муниципального района Камчатского края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</si>
  <si>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</si>
  <si>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</si>
  <si>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</si>
  <si>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</si>
  <si>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104.</t>
  </si>
  <si>
    <t xml:space="preserve">Региональный проект «Развитие транспортной инфраструктуры на сельских территориях»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</si>
  <si>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</si>
  <si>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</si>
  <si>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</si>
  <si>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</si>
  <si>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</si>
  <si>
    <t xml:space="preserve">105.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</si>
  <si>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</si>
  <si>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</si>
  <si>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15,94 п.м /
0,41868 км</t>
  </si>
  <si>
    <t xml:space="preserve">299 769,342 тыс. рублей</t>
  </si>
  <si>
    <t xml:space="preserve">от 01.04.2022 № 41-1-1-3-019435-2022</t>
  </si>
  <si>
    <t xml:space="preserve">106.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</si>
  <si>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</si>
  <si>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20,724 п.м./
0,74231 км</t>
  </si>
  <si>
    <t xml:space="preserve">437 721,804 тыс. рублей</t>
  </si>
  <si>
    <t xml:space="preserve">от 01.04.2022 № 41-1-1-3-019455-2022</t>
  </si>
  <si>
    <t xml:space="preserve">107.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</si>
</sst>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0.00000;\-0.00000"/>
    <numFmt numFmtId="172" formatCode="#,##0.00000;\-#,##0.00000"/>
    <numFmt numFmtId="173" formatCode="0.00000"/>
    <numFmt numFmtId="174" formatCode="#,##0.00"/>
    <numFmt numFmtId="175" formatCode="dd/mm/yyyy"/>
    <numFmt numFmtId="176" formatCode="0.0"/>
    <numFmt numFmtId="177" formatCode="0.0000"/>
  </numFmts>
  <fonts count="16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1"/>
      <color rgb="FF000000"/>
      <name val="Times New Roman"/>
      <family val="1"/>
      <charset val="1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Обычный 4" xfId="24"/>
    <cellStyle name="Финансовый 2" xfId="25"/>
    <cellStyle name="Финансовый 3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F129"/>
  <sheetViews>
    <sheetView showFormulas="false" showGridLines="true" showRowColHeaders="true" showZeros="true" rightToLeft="false" tabSelected="true" showOutlineSymbols="true" defaultGridColor="true" view="pageBreakPreview" topLeftCell="A1" colorId="64" zoomScale="72" zoomScaleNormal="23" zoomScalePageLayoutView="72" workbookViewId="0">
      <selection pane="topLeft" activeCell="C2" activeCellId="0" sqref="C2"/>
    </sheetView>
  </sheetViews>
  <sheetFormatPr defaultColWidth="8.71484375" defaultRowHeight="14.3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32.62"/>
    <col collapsed="false" customWidth="true" hidden="false" outlineLevel="0" max="3" min="3" style="1" width="19.42"/>
    <col collapsed="false" customWidth="true" hidden="false" outlineLevel="0" max="4" min="4" style="1" width="25.14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2" min="10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6.57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3.75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8.08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3.71"/>
    <col collapsed="false" customWidth="true" hidden="false" outlineLevel="0" max="44" min="44" style="1" width="19.29"/>
    <col collapsed="false" customWidth="true" hidden="false" outlineLevel="0" max="45" min="45" style="1" width="19.57"/>
    <col collapsed="false" customWidth="true" hidden="false" outlineLevel="0" max="46" min="46" style="1" width="28.71"/>
    <col collapsed="false" customWidth="true" hidden="false" outlineLevel="0" max="47" min="47" style="1" width="20.29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22.71"/>
    <col collapsed="false" customWidth="false" hidden="false" outlineLevel="0" max="16368" min="51" style="1" width="8.71"/>
    <col collapsed="false" customWidth="true" hidden="false" outlineLevel="0" max="16382" min="16369" style="1" width="11.57"/>
    <col collapsed="false" customWidth="true" hidden="false" outlineLevel="0" max="16384" min="16383" style="1" width="11.53"/>
  </cols>
  <sheetData>
    <row r="1" s="2" customFormat="true" ht="75.75" hidden="false" customHeight="true" outlineLevel="0" collapsed="false">
      <c r="AU1" s="3" t="s">
        <v>0</v>
      </c>
      <c r="AV1" s="3"/>
      <c r="AW1" s="3"/>
      <c r="AX1" s="3"/>
    </row>
    <row r="2" s="7" customFormat="true" ht="65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6"/>
      <c r="AS2" s="6"/>
      <c r="AT2" s="6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</row>
    <row r="4" customFormat="false" ht="28.5" hidden="false" customHeight="true" outlineLevel="0" collapsed="false">
      <c r="A4" s="10"/>
      <c r="B4" s="11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2"/>
      <c r="AG4" s="13"/>
      <c r="AH4" s="13"/>
      <c r="AI4" s="13"/>
      <c r="AJ4" s="13"/>
      <c r="AK4" s="13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</row>
    <row r="5" customFormat="false" ht="43.5" hidden="false" customHeight="true" outlineLevel="0" collapsed="false">
      <c r="A5" s="14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/>
      <c r="G5" s="15" t="s">
        <v>8</v>
      </c>
      <c r="H5" s="14" t="s">
        <v>9</v>
      </c>
      <c r="I5" s="14" t="s">
        <v>10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 t="s">
        <v>11</v>
      </c>
      <c r="AM5" s="14" t="s">
        <v>12</v>
      </c>
      <c r="AN5" s="14" t="s">
        <v>13</v>
      </c>
      <c r="AO5" s="14" t="s">
        <v>14</v>
      </c>
      <c r="AP5" s="14" t="s">
        <v>15</v>
      </c>
      <c r="AQ5" s="14" t="s">
        <v>16</v>
      </c>
      <c r="AR5" s="14" t="s">
        <v>17</v>
      </c>
      <c r="AS5" s="14" t="s">
        <v>18</v>
      </c>
      <c r="AT5" s="14" t="s">
        <v>19</v>
      </c>
      <c r="AU5" s="14" t="s">
        <v>20</v>
      </c>
      <c r="AV5" s="14" t="s">
        <v>21</v>
      </c>
      <c r="AW5" s="14" t="s">
        <v>22</v>
      </c>
      <c r="AX5" s="14" t="s">
        <v>23</v>
      </c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</row>
    <row r="6" customFormat="false" ht="31.5" hidden="false" customHeight="true" outlineLevel="0" collapsed="false">
      <c r="A6" s="14"/>
      <c r="B6" s="14"/>
      <c r="C6" s="14"/>
      <c r="D6" s="14"/>
      <c r="E6" s="14"/>
      <c r="F6" s="14"/>
      <c r="G6" s="15"/>
      <c r="H6" s="15"/>
      <c r="I6" s="14" t="s">
        <v>24</v>
      </c>
      <c r="J6" s="14" t="s">
        <v>25</v>
      </c>
      <c r="K6" s="14"/>
      <c r="L6" s="14"/>
      <c r="M6" s="14"/>
      <c r="N6" s="14"/>
      <c r="O6" s="14"/>
      <c r="P6" s="14" t="s">
        <v>26</v>
      </c>
      <c r="Q6" s="14"/>
      <c r="R6" s="14"/>
      <c r="S6" s="14"/>
      <c r="T6" s="14"/>
      <c r="U6" s="14"/>
      <c r="V6" s="14" t="s">
        <v>27</v>
      </c>
      <c r="W6" s="14"/>
      <c r="X6" s="14"/>
      <c r="Y6" s="14"/>
      <c r="Z6" s="14"/>
      <c r="AA6" s="14"/>
      <c r="AB6" s="14" t="s">
        <v>28</v>
      </c>
      <c r="AC6" s="14"/>
      <c r="AD6" s="14"/>
      <c r="AE6" s="14"/>
      <c r="AF6" s="14"/>
      <c r="AG6" s="14" t="s">
        <v>29</v>
      </c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</row>
    <row r="7" customFormat="false" ht="32.25" hidden="false" customHeight="true" outlineLevel="0" collapsed="false">
      <c r="A7" s="14"/>
      <c r="B7" s="14"/>
      <c r="C7" s="14"/>
      <c r="D7" s="14"/>
      <c r="E7" s="14" t="s">
        <v>30</v>
      </c>
      <c r="F7" s="14" t="s">
        <v>31</v>
      </c>
      <c r="G7" s="15"/>
      <c r="H7" s="15"/>
      <c r="I7" s="15"/>
      <c r="J7" s="16" t="s">
        <v>32</v>
      </c>
      <c r="K7" s="14" t="s">
        <v>33</v>
      </c>
      <c r="L7" s="14" t="s">
        <v>34</v>
      </c>
      <c r="M7" s="14" t="s">
        <v>35</v>
      </c>
      <c r="N7" s="14" t="s">
        <v>36</v>
      </c>
      <c r="O7" s="14" t="s">
        <v>37</v>
      </c>
      <c r="P7" s="16" t="s">
        <v>32</v>
      </c>
      <c r="Q7" s="14" t="s">
        <v>33</v>
      </c>
      <c r="R7" s="14" t="s">
        <v>34</v>
      </c>
      <c r="S7" s="14" t="s">
        <v>35</v>
      </c>
      <c r="T7" s="14" t="s">
        <v>36</v>
      </c>
      <c r="U7" s="14" t="s">
        <v>37</v>
      </c>
      <c r="V7" s="16" t="s">
        <v>32</v>
      </c>
      <c r="W7" s="14" t="s">
        <v>33</v>
      </c>
      <c r="X7" s="14" t="s">
        <v>34</v>
      </c>
      <c r="Y7" s="14" t="s">
        <v>35</v>
      </c>
      <c r="Z7" s="14" t="s">
        <v>36</v>
      </c>
      <c r="AA7" s="14" t="s">
        <v>37</v>
      </c>
      <c r="AB7" s="16" t="s">
        <v>32</v>
      </c>
      <c r="AC7" s="14" t="s">
        <v>33</v>
      </c>
      <c r="AD7" s="14" t="s">
        <v>34</v>
      </c>
      <c r="AE7" s="14" t="s">
        <v>35</v>
      </c>
      <c r="AF7" s="14" t="s">
        <v>36</v>
      </c>
      <c r="AG7" s="16" t="s">
        <v>32</v>
      </c>
      <c r="AH7" s="14" t="s">
        <v>33</v>
      </c>
      <c r="AI7" s="14" t="s">
        <v>34</v>
      </c>
      <c r="AJ7" s="14" t="s">
        <v>35</v>
      </c>
      <c r="AK7" s="14" t="s">
        <v>36</v>
      </c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customFormat="false" ht="15.75" hidden="false" customHeight="false" outlineLevel="0" collapsed="false">
      <c r="A8" s="17" t="s">
        <v>38</v>
      </c>
      <c r="B8" s="16" t="n">
        <v>2</v>
      </c>
      <c r="C8" s="16" t="n">
        <v>3</v>
      </c>
      <c r="D8" s="16" t="n">
        <v>4</v>
      </c>
      <c r="E8" s="16" t="n">
        <v>5</v>
      </c>
      <c r="F8" s="16" t="n">
        <v>6</v>
      </c>
      <c r="G8" s="16" t="n">
        <v>7</v>
      </c>
      <c r="H8" s="16" t="n">
        <v>8</v>
      </c>
      <c r="I8" s="16" t="n">
        <v>9</v>
      </c>
      <c r="J8" s="16" t="n">
        <v>10</v>
      </c>
      <c r="K8" s="16" t="n">
        <v>11</v>
      </c>
      <c r="L8" s="16" t="n">
        <v>12</v>
      </c>
      <c r="M8" s="16" t="n">
        <v>13</v>
      </c>
      <c r="N8" s="16" t="n">
        <v>14</v>
      </c>
      <c r="O8" s="16" t="n">
        <v>15</v>
      </c>
      <c r="P8" s="16" t="n">
        <v>16</v>
      </c>
      <c r="Q8" s="16" t="n">
        <v>17</v>
      </c>
      <c r="R8" s="16" t="n">
        <v>18</v>
      </c>
      <c r="S8" s="16" t="n">
        <v>19</v>
      </c>
      <c r="T8" s="16" t="n">
        <v>20</v>
      </c>
      <c r="U8" s="16" t="n">
        <v>21</v>
      </c>
      <c r="V8" s="16" t="n">
        <v>22</v>
      </c>
      <c r="W8" s="16" t="n">
        <v>23</v>
      </c>
      <c r="X8" s="16" t="n">
        <v>24</v>
      </c>
      <c r="Y8" s="16" t="n">
        <v>25</v>
      </c>
      <c r="Z8" s="16" t="n">
        <v>26</v>
      </c>
      <c r="AA8" s="16" t="n">
        <v>27</v>
      </c>
      <c r="AB8" s="16" t="n">
        <v>28</v>
      </c>
      <c r="AC8" s="16" t="n">
        <v>29</v>
      </c>
      <c r="AD8" s="16" t="n">
        <v>30</v>
      </c>
      <c r="AE8" s="16" t="n">
        <v>31</v>
      </c>
      <c r="AF8" s="16" t="n">
        <v>32</v>
      </c>
      <c r="AG8" s="16" t="n">
        <v>33</v>
      </c>
      <c r="AH8" s="16" t="n">
        <v>34</v>
      </c>
      <c r="AI8" s="16" t="n">
        <v>35</v>
      </c>
      <c r="AJ8" s="16" t="n">
        <v>36</v>
      </c>
      <c r="AK8" s="16" t="n">
        <v>37</v>
      </c>
      <c r="AL8" s="16" t="n">
        <v>38</v>
      </c>
      <c r="AM8" s="16" t="n">
        <v>39</v>
      </c>
      <c r="AN8" s="16" t="n">
        <v>40</v>
      </c>
      <c r="AO8" s="16" t="n">
        <v>41</v>
      </c>
      <c r="AP8" s="16" t="n">
        <v>42</v>
      </c>
      <c r="AQ8" s="16" t="n">
        <v>43</v>
      </c>
      <c r="AR8" s="16" t="n">
        <v>44</v>
      </c>
      <c r="AS8" s="16" t="n">
        <v>45</v>
      </c>
      <c r="AT8" s="16" t="n">
        <v>46</v>
      </c>
      <c r="AU8" s="16" t="n">
        <v>47</v>
      </c>
      <c r="AV8" s="16" t="n">
        <v>48</v>
      </c>
      <c r="AW8" s="16" t="n">
        <v>49</v>
      </c>
      <c r="AX8" s="16" t="n">
        <v>50</v>
      </c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customFormat="false" ht="99.75" hidden="false" customHeight="true" outlineLevel="0" collapsed="false">
      <c r="A9" s="17" t="s">
        <v>39</v>
      </c>
      <c r="B9" s="18" t="s">
        <v>40</v>
      </c>
      <c r="C9" s="18" t="s">
        <v>41</v>
      </c>
      <c r="D9" s="18" t="s">
        <v>42</v>
      </c>
      <c r="E9" s="19" t="s">
        <v>43</v>
      </c>
      <c r="F9" s="18" t="s">
        <v>44</v>
      </c>
      <c r="G9" s="18" t="s">
        <v>45</v>
      </c>
      <c r="H9" s="18" t="s">
        <v>46</v>
      </c>
      <c r="I9" s="20" t="n">
        <f aca="false">P9+V9+AB9+AG9+J9</f>
        <v>213577.72559</v>
      </c>
      <c r="J9" s="20" t="n">
        <f aca="false">SUM(K9:O9)</f>
        <v>213577.72559</v>
      </c>
      <c r="K9" s="21"/>
      <c r="L9" s="21" t="n">
        <f aca="false">290450.54-2500-5000-5700-6896.459-2317.28961-54459.0658</f>
        <v>213577.72559</v>
      </c>
      <c r="M9" s="21"/>
      <c r="N9" s="21"/>
      <c r="O9" s="21"/>
      <c r="P9" s="21" t="n">
        <f aca="false">SUM(Q9:U9)</f>
        <v>0</v>
      </c>
      <c r="Q9" s="21"/>
      <c r="R9" s="21"/>
      <c r="S9" s="21"/>
      <c r="T9" s="21"/>
      <c r="U9" s="21"/>
      <c r="V9" s="21" t="n">
        <f aca="false">SUM(W9:AA9)</f>
        <v>0</v>
      </c>
      <c r="W9" s="21"/>
      <c r="X9" s="21"/>
      <c r="Y9" s="21"/>
      <c r="Z9" s="21"/>
      <c r="AA9" s="21"/>
      <c r="AB9" s="21" t="n">
        <f aca="false">SUM(AC9:AF9)</f>
        <v>0</v>
      </c>
      <c r="AC9" s="21"/>
      <c r="AD9" s="21"/>
      <c r="AE9" s="21"/>
      <c r="AF9" s="21"/>
      <c r="AG9" s="20" t="n">
        <f aca="false">SUM(AH9:AK9)</f>
        <v>0</v>
      </c>
      <c r="AH9" s="21"/>
      <c r="AI9" s="21"/>
      <c r="AJ9" s="21"/>
      <c r="AK9" s="21"/>
      <c r="AL9" s="18" t="s">
        <v>47</v>
      </c>
      <c r="AM9" s="18" t="s">
        <v>25</v>
      </c>
      <c r="AN9" s="18"/>
      <c r="AO9" s="18" t="s">
        <v>48</v>
      </c>
      <c r="AP9" s="18" t="s">
        <v>49</v>
      </c>
      <c r="AQ9" s="18" t="s">
        <v>50</v>
      </c>
      <c r="AR9" s="18" t="s">
        <v>51</v>
      </c>
      <c r="AS9" s="18" t="s">
        <v>50</v>
      </c>
      <c r="AT9" s="18" t="s">
        <v>50</v>
      </c>
      <c r="AU9" s="18" t="s">
        <v>52</v>
      </c>
      <c r="AV9" s="18" t="s">
        <v>53</v>
      </c>
      <c r="AW9" s="18" t="s">
        <v>54</v>
      </c>
      <c r="AX9" s="18" t="s">
        <v>55</v>
      </c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customFormat="false" ht="116.25" hidden="false" customHeight="true" outlineLevel="0" collapsed="false">
      <c r="A10" s="17" t="s">
        <v>56</v>
      </c>
      <c r="B10" s="18" t="s">
        <v>40</v>
      </c>
      <c r="C10" s="18" t="s">
        <v>41</v>
      </c>
      <c r="D10" s="18" t="s">
        <v>42</v>
      </c>
      <c r="E10" s="19" t="s">
        <v>43</v>
      </c>
      <c r="F10" s="18" t="s">
        <v>44</v>
      </c>
      <c r="G10" s="18" t="s">
        <v>57</v>
      </c>
      <c r="H10" s="18" t="s">
        <v>58</v>
      </c>
      <c r="I10" s="20" t="n">
        <f aca="false">J10+P10+V10+AB10+AG10</f>
        <v>23345.74493</v>
      </c>
      <c r="J10" s="20" t="n">
        <f aca="false">SUM(K10:O10)</f>
        <v>23345.74493</v>
      </c>
      <c r="K10" s="21" t="n">
        <v>20006.39511</v>
      </c>
      <c r="L10" s="21" t="n">
        <f aca="false">103722.12611-40700-6600-12422.99491-40659.78138-2878.29511+2878.29511</f>
        <v>3339.34982</v>
      </c>
      <c r="M10" s="21"/>
      <c r="N10" s="21"/>
      <c r="O10" s="21"/>
      <c r="P10" s="21" t="n">
        <f aca="false">SUM(Q10:U10)</f>
        <v>0</v>
      </c>
      <c r="Q10" s="21"/>
      <c r="R10" s="21"/>
      <c r="S10" s="21"/>
      <c r="T10" s="21"/>
      <c r="U10" s="21"/>
      <c r="V10" s="21" t="n">
        <f aca="false">SUM(W10:AA10)</f>
        <v>0</v>
      </c>
      <c r="W10" s="21"/>
      <c r="X10" s="21"/>
      <c r="Y10" s="21"/>
      <c r="Z10" s="21"/>
      <c r="AA10" s="21"/>
      <c r="AB10" s="21" t="n">
        <f aca="false">SUM(AC10:AF10)</f>
        <v>0</v>
      </c>
      <c r="AC10" s="21"/>
      <c r="AD10" s="21"/>
      <c r="AE10" s="21"/>
      <c r="AF10" s="21"/>
      <c r="AG10" s="20" t="n">
        <f aca="false">SUM(AH10:AK10)</f>
        <v>0</v>
      </c>
      <c r="AH10" s="21"/>
      <c r="AI10" s="21"/>
      <c r="AJ10" s="21"/>
      <c r="AK10" s="21"/>
      <c r="AL10" s="18" t="s">
        <v>47</v>
      </c>
      <c r="AM10" s="18" t="s">
        <v>25</v>
      </c>
      <c r="AN10" s="18"/>
      <c r="AO10" s="18" t="s">
        <v>48</v>
      </c>
      <c r="AP10" s="18" t="s">
        <v>59</v>
      </c>
      <c r="AQ10" s="18" t="s">
        <v>60</v>
      </c>
      <c r="AR10" s="18" t="s">
        <v>51</v>
      </c>
      <c r="AS10" s="18" t="s">
        <v>60</v>
      </c>
      <c r="AT10" s="18" t="s">
        <v>60</v>
      </c>
      <c r="AU10" s="18"/>
      <c r="AV10" s="18" t="s">
        <v>53</v>
      </c>
      <c r="AW10" s="18" t="s">
        <v>54</v>
      </c>
      <c r="AX10" s="18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customFormat="false" ht="97.5" hidden="false" customHeight="true" outlineLevel="0" collapsed="false">
      <c r="A11" s="17" t="s">
        <v>61</v>
      </c>
      <c r="B11" s="18" t="s">
        <v>40</v>
      </c>
      <c r="C11" s="18" t="s">
        <v>41</v>
      </c>
      <c r="D11" s="18" t="s">
        <v>42</v>
      </c>
      <c r="E11" s="19" t="s">
        <v>43</v>
      </c>
      <c r="F11" s="18" t="s">
        <v>44</v>
      </c>
      <c r="G11" s="18" t="s">
        <v>62</v>
      </c>
      <c r="H11" s="18" t="s">
        <v>46</v>
      </c>
      <c r="I11" s="20" t="n">
        <f aca="false">J11+P11+V11+AB11+AG11</f>
        <v>28183.86472</v>
      </c>
      <c r="J11" s="20" t="n">
        <f aca="false">SUM(K11:O11)</f>
        <v>28183.86472</v>
      </c>
      <c r="K11" s="21" t="n">
        <v>23251.75459</v>
      </c>
      <c r="L11" s="21" t="n">
        <f aca="false">120831.282-20228.3358-91211.63775-4459.19832</f>
        <v>4932.11013000001</v>
      </c>
      <c r="M11" s="21"/>
      <c r="N11" s="21"/>
      <c r="O11" s="21"/>
      <c r="P11" s="21" t="n">
        <f aca="false">SUM(Q11:U11)</f>
        <v>0</v>
      </c>
      <c r="Q11" s="21"/>
      <c r="R11" s="21"/>
      <c r="S11" s="21"/>
      <c r="T11" s="21"/>
      <c r="U11" s="21"/>
      <c r="V11" s="21" t="n">
        <f aca="false">SUM(W11:AA11)</f>
        <v>0</v>
      </c>
      <c r="W11" s="21"/>
      <c r="X11" s="21"/>
      <c r="Y11" s="21"/>
      <c r="Z11" s="21"/>
      <c r="AA11" s="21"/>
      <c r="AB11" s="21" t="n">
        <f aca="false">SUM(AC11:AF11)</f>
        <v>0</v>
      </c>
      <c r="AC11" s="21"/>
      <c r="AD11" s="21"/>
      <c r="AE11" s="21"/>
      <c r="AF11" s="21"/>
      <c r="AG11" s="20" t="n">
        <f aca="false">SUM(AH11:AK11)</f>
        <v>0</v>
      </c>
      <c r="AH11" s="21"/>
      <c r="AI11" s="21"/>
      <c r="AJ11" s="21"/>
      <c r="AK11" s="21"/>
      <c r="AL11" s="18" t="s">
        <v>47</v>
      </c>
      <c r="AM11" s="18" t="s">
        <v>25</v>
      </c>
      <c r="AN11" s="18"/>
      <c r="AO11" s="18" t="s">
        <v>48</v>
      </c>
      <c r="AP11" s="18" t="s">
        <v>59</v>
      </c>
      <c r="AQ11" s="18" t="s">
        <v>60</v>
      </c>
      <c r="AR11" s="18" t="s">
        <v>51</v>
      </c>
      <c r="AS11" s="18" t="s">
        <v>60</v>
      </c>
      <c r="AT11" s="18" t="s">
        <v>60</v>
      </c>
      <c r="AU11" s="18"/>
      <c r="AV11" s="18" t="s">
        <v>53</v>
      </c>
      <c r="AW11" s="18" t="s">
        <v>63</v>
      </c>
      <c r="AX11" s="18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customFormat="false" ht="76.5" hidden="false" customHeight="false" outlineLevel="0" collapsed="false">
      <c r="A12" s="17" t="s">
        <v>64</v>
      </c>
      <c r="B12" s="18" t="s">
        <v>40</v>
      </c>
      <c r="C12" s="18" t="s">
        <v>41</v>
      </c>
      <c r="D12" s="22" t="s">
        <v>65</v>
      </c>
      <c r="E12" s="19" t="s">
        <v>43</v>
      </c>
      <c r="F12" s="18" t="s">
        <v>44</v>
      </c>
      <c r="G12" s="18" t="s">
        <v>66</v>
      </c>
      <c r="H12" s="18" t="s">
        <v>67</v>
      </c>
      <c r="I12" s="20" t="n">
        <f aca="false">J12+P12+V12+AB12+AG12</f>
        <v>398696.40846</v>
      </c>
      <c r="J12" s="20" t="n">
        <f aca="false">SUM(K12:O12)</f>
        <v>398696.40846</v>
      </c>
      <c r="K12" s="21"/>
      <c r="L12" s="21" t="n">
        <f aca="false">384160.97+8200+6335.43846</f>
        <v>398696.40846</v>
      </c>
      <c r="M12" s="21"/>
      <c r="N12" s="21"/>
      <c r="O12" s="21"/>
      <c r="P12" s="21" t="n">
        <f aca="false">SUM(Q12:U12)</f>
        <v>0</v>
      </c>
      <c r="Q12" s="21"/>
      <c r="R12" s="21"/>
      <c r="S12" s="21"/>
      <c r="T12" s="21"/>
      <c r="U12" s="21"/>
      <c r="V12" s="21" t="n">
        <f aca="false">SUM(W12:AA12)</f>
        <v>0</v>
      </c>
      <c r="W12" s="21"/>
      <c r="X12" s="21"/>
      <c r="Y12" s="21"/>
      <c r="Z12" s="21"/>
      <c r="AA12" s="21"/>
      <c r="AB12" s="21" t="n">
        <f aca="false">SUM(AC12:AF12)</f>
        <v>0</v>
      </c>
      <c r="AC12" s="21"/>
      <c r="AD12" s="21"/>
      <c r="AE12" s="21"/>
      <c r="AF12" s="21"/>
      <c r="AG12" s="20" t="n">
        <f aca="false">SUM(AH12:AK12)</f>
        <v>0</v>
      </c>
      <c r="AH12" s="21"/>
      <c r="AI12" s="21"/>
      <c r="AJ12" s="21"/>
      <c r="AK12" s="21"/>
      <c r="AL12" s="18" t="s">
        <v>68</v>
      </c>
      <c r="AM12" s="18" t="s">
        <v>25</v>
      </c>
      <c r="AN12" s="18"/>
      <c r="AO12" s="18" t="s">
        <v>48</v>
      </c>
      <c r="AP12" s="18" t="s">
        <v>69</v>
      </c>
      <c r="AQ12" s="18" t="s">
        <v>60</v>
      </c>
      <c r="AR12" s="18" t="s">
        <v>51</v>
      </c>
      <c r="AS12" s="18" t="s">
        <v>60</v>
      </c>
      <c r="AT12" s="18" t="s">
        <v>60</v>
      </c>
      <c r="AU12" s="23" t="s">
        <v>70</v>
      </c>
      <c r="AV12" s="18" t="s">
        <v>53</v>
      </c>
      <c r="AW12" s="18" t="s">
        <v>54</v>
      </c>
      <c r="AX12" s="22" t="s">
        <v>71</v>
      </c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customFormat="false" ht="81.75" hidden="false" customHeight="true" outlineLevel="0" collapsed="false">
      <c r="A13" s="17" t="s">
        <v>72</v>
      </c>
      <c r="B13" s="18" t="s">
        <v>40</v>
      </c>
      <c r="C13" s="18" t="s">
        <v>41</v>
      </c>
      <c r="D13" s="15" t="s">
        <v>65</v>
      </c>
      <c r="E13" s="19" t="s">
        <v>43</v>
      </c>
      <c r="F13" s="18" t="s">
        <v>44</v>
      </c>
      <c r="G13" s="18" t="s">
        <v>73</v>
      </c>
      <c r="H13" s="18" t="s">
        <v>67</v>
      </c>
      <c r="I13" s="20" t="n">
        <f aca="false">J13+P13+V13+AB13+AG13</f>
        <v>2170700</v>
      </c>
      <c r="J13" s="20" t="n">
        <f aca="false">SUM(K13:O13)</f>
        <v>0</v>
      </c>
      <c r="K13" s="21"/>
      <c r="L13" s="21"/>
      <c r="M13" s="21"/>
      <c r="N13" s="21"/>
      <c r="O13" s="21"/>
      <c r="P13" s="21" t="n">
        <f aca="false">SUM(Q13:U13)</f>
        <v>350000</v>
      </c>
      <c r="Q13" s="21"/>
      <c r="R13" s="21" t="n">
        <f aca="false">0+350000</f>
        <v>350000</v>
      </c>
      <c r="S13" s="21"/>
      <c r="T13" s="21"/>
      <c r="U13" s="21"/>
      <c r="V13" s="21" t="n">
        <f aca="false">SUM(W13:AA13)</f>
        <v>1820700</v>
      </c>
      <c r="W13" s="21" t="n">
        <v>1820700</v>
      </c>
      <c r="X13" s="21"/>
      <c r="Y13" s="21"/>
      <c r="Z13" s="21"/>
      <c r="AA13" s="21"/>
      <c r="AB13" s="21" t="n">
        <f aca="false">SUM(AC13:AF13)</f>
        <v>0</v>
      </c>
      <c r="AC13" s="21"/>
      <c r="AD13" s="21"/>
      <c r="AE13" s="21"/>
      <c r="AF13" s="21"/>
      <c r="AG13" s="20" t="n">
        <f aca="false">SUM(AH13:AK13)</f>
        <v>0</v>
      </c>
      <c r="AH13" s="21"/>
      <c r="AI13" s="21"/>
      <c r="AJ13" s="21"/>
      <c r="AK13" s="21"/>
      <c r="AL13" s="15" t="s">
        <v>68</v>
      </c>
      <c r="AM13" s="15" t="s">
        <v>29</v>
      </c>
      <c r="AN13" s="15" t="s">
        <v>74</v>
      </c>
      <c r="AO13" s="15" t="s">
        <v>48</v>
      </c>
      <c r="AP13" s="15" t="s">
        <v>75</v>
      </c>
      <c r="AQ13" s="15" t="s">
        <v>60</v>
      </c>
      <c r="AR13" s="15" t="s">
        <v>51</v>
      </c>
      <c r="AS13" s="18" t="s">
        <v>60</v>
      </c>
      <c r="AT13" s="18" t="s">
        <v>60</v>
      </c>
      <c r="AU13" s="15" t="s">
        <v>76</v>
      </c>
      <c r="AV13" s="15" t="s">
        <v>53</v>
      </c>
      <c r="AW13" s="18" t="s">
        <v>77</v>
      </c>
      <c r="AX13" s="15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customFormat="false" ht="109.5" hidden="false" customHeight="true" outlineLevel="0" collapsed="false">
      <c r="A14" s="17" t="s">
        <v>78</v>
      </c>
      <c r="B14" s="18" t="s">
        <v>40</v>
      </c>
      <c r="C14" s="18" t="s">
        <v>41</v>
      </c>
      <c r="D14" s="18" t="s">
        <v>42</v>
      </c>
      <c r="E14" s="19" t="s">
        <v>43</v>
      </c>
      <c r="F14" s="18" t="s">
        <v>44</v>
      </c>
      <c r="G14" s="18" t="s">
        <v>79</v>
      </c>
      <c r="H14" s="18" t="s">
        <v>80</v>
      </c>
      <c r="I14" s="20" t="n">
        <f aca="false">J14+P14+V14+AB14+AG14</f>
        <v>118708.53622</v>
      </c>
      <c r="J14" s="20" t="n">
        <f aca="false">SUM(K14:O14)</f>
        <v>118708.53622</v>
      </c>
      <c r="K14" s="21"/>
      <c r="L14" s="21" t="n">
        <f aca="false">100105.428+22000-7346.89178+3950</f>
        <v>118708.53622</v>
      </c>
      <c r="M14" s="21"/>
      <c r="N14" s="21"/>
      <c r="O14" s="21"/>
      <c r="P14" s="21" t="n">
        <f aca="false">SUM(Q14:U14)</f>
        <v>0</v>
      </c>
      <c r="Q14" s="21"/>
      <c r="R14" s="21"/>
      <c r="S14" s="21"/>
      <c r="T14" s="21"/>
      <c r="U14" s="21"/>
      <c r="V14" s="21" t="n">
        <f aca="false">SUM(W14:AA14)</f>
        <v>0</v>
      </c>
      <c r="W14" s="21"/>
      <c r="X14" s="21"/>
      <c r="Y14" s="21"/>
      <c r="Z14" s="21"/>
      <c r="AA14" s="21"/>
      <c r="AB14" s="21" t="n">
        <f aca="false">SUM(AC14:AF14)</f>
        <v>0</v>
      </c>
      <c r="AC14" s="21"/>
      <c r="AD14" s="21"/>
      <c r="AE14" s="21"/>
      <c r="AF14" s="21"/>
      <c r="AG14" s="20" t="n">
        <f aca="false">SUM(AH14:AK14)</f>
        <v>0</v>
      </c>
      <c r="AH14" s="21"/>
      <c r="AI14" s="21"/>
      <c r="AJ14" s="21"/>
      <c r="AK14" s="21"/>
      <c r="AL14" s="18" t="s">
        <v>47</v>
      </c>
      <c r="AM14" s="18" t="s">
        <v>25</v>
      </c>
      <c r="AN14" s="18"/>
      <c r="AO14" s="18" t="s">
        <v>48</v>
      </c>
      <c r="AP14" s="18" t="s">
        <v>81</v>
      </c>
      <c r="AQ14" s="18" t="s">
        <v>60</v>
      </c>
      <c r="AR14" s="18" t="s">
        <v>51</v>
      </c>
      <c r="AS14" s="18" t="s">
        <v>60</v>
      </c>
      <c r="AT14" s="18" t="s">
        <v>60</v>
      </c>
      <c r="AU14" s="18"/>
      <c r="AV14" s="18" t="s">
        <v>53</v>
      </c>
      <c r="AW14" s="18" t="s">
        <v>54</v>
      </c>
      <c r="AX14" s="18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customFormat="false" ht="105" hidden="false" customHeight="true" outlineLevel="0" collapsed="false">
      <c r="A15" s="17" t="s">
        <v>82</v>
      </c>
      <c r="B15" s="18" t="s">
        <v>40</v>
      </c>
      <c r="C15" s="18" t="s">
        <v>41</v>
      </c>
      <c r="D15" s="22" t="s">
        <v>65</v>
      </c>
      <c r="E15" s="19" t="s">
        <v>43</v>
      </c>
      <c r="F15" s="18" t="s">
        <v>44</v>
      </c>
      <c r="G15" s="18" t="s">
        <v>83</v>
      </c>
      <c r="H15" s="18" t="s">
        <v>67</v>
      </c>
      <c r="I15" s="20" t="n">
        <f aca="false">J15+P15+V15+AB15+AG15</f>
        <v>44484.67172</v>
      </c>
      <c r="J15" s="20" t="n">
        <f aca="false">SUM(K15:O15)</f>
        <v>32927.94172</v>
      </c>
      <c r="K15" s="21" t="n">
        <f aca="false">0+15517.7</f>
        <v>15517.7</v>
      </c>
      <c r="L15" s="21" t="n">
        <f aca="false">5226.93+10500-5000+6683.71172-0.4</f>
        <v>17410.24172</v>
      </c>
      <c r="M15" s="21"/>
      <c r="N15" s="21"/>
      <c r="O15" s="21"/>
      <c r="P15" s="21" t="n">
        <f aca="false">SUM(Q15:U15)</f>
        <v>5749.62</v>
      </c>
      <c r="Q15" s="21"/>
      <c r="R15" s="21" t="n">
        <v>5749.62</v>
      </c>
      <c r="S15" s="21"/>
      <c r="T15" s="21"/>
      <c r="U15" s="21"/>
      <c r="V15" s="21" t="n">
        <f aca="false">SUM(W15:AA15)</f>
        <v>5807.11</v>
      </c>
      <c r="W15" s="21"/>
      <c r="X15" s="21" t="n">
        <v>5807.11</v>
      </c>
      <c r="Y15" s="21"/>
      <c r="Z15" s="21"/>
      <c r="AA15" s="21"/>
      <c r="AB15" s="21" t="n">
        <f aca="false">SUM(AC15:AF15)</f>
        <v>0</v>
      </c>
      <c r="AC15" s="21"/>
      <c r="AD15" s="21"/>
      <c r="AE15" s="21"/>
      <c r="AF15" s="21"/>
      <c r="AG15" s="20" t="n">
        <f aca="false">SUM(AH15:AK15)</f>
        <v>0</v>
      </c>
      <c r="AH15" s="21"/>
      <c r="AI15" s="21"/>
      <c r="AJ15" s="21"/>
      <c r="AK15" s="21"/>
      <c r="AL15" s="22" t="s">
        <v>68</v>
      </c>
      <c r="AM15" s="22" t="s">
        <v>27</v>
      </c>
      <c r="AN15" s="22"/>
      <c r="AO15" s="22" t="s">
        <v>48</v>
      </c>
      <c r="AP15" s="22" t="s">
        <v>84</v>
      </c>
      <c r="AQ15" s="22" t="s">
        <v>60</v>
      </c>
      <c r="AR15" s="22" t="s">
        <v>51</v>
      </c>
      <c r="AS15" s="18" t="s">
        <v>60</v>
      </c>
      <c r="AT15" s="18" t="s">
        <v>60</v>
      </c>
      <c r="AU15" s="22"/>
      <c r="AV15" s="22" t="s">
        <v>53</v>
      </c>
      <c r="AW15" s="22" t="s">
        <v>63</v>
      </c>
      <c r="AX15" s="2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customFormat="false" ht="99" hidden="false" customHeight="true" outlineLevel="0" collapsed="false">
      <c r="A16" s="17" t="s">
        <v>85</v>
      </c>
      <c r="B16" s="18" t="s">
        <v>40</v>
      </c>
      <c r="C16" s="15" t="s">
        <v>41</v>
      </c>
      <c r="D16" s="18" t="s">
        <v>42</v>
      </c>
      <c r="E16" s="24" t="s">
        <v>43</v>
      </c>
      <c r="F16" s="18" t="s">
        <v>44</v>
      </c>
      <c r="G16" s="15" t="s">
        <v>86</v>
      </c>
      <c r="H16" s="15" t="s">
        <v>87</v>
      </c>
      <c r="I16" s="20" t="n">
        <f aca="false">J16+P16+V16+AB16+AG16</f>
        <v>164377.80128</v>
      </c>
      <c r="J16" s="20" t="n">
        <f aca="false">SUM(K16:O16)</f>
        <v>164377.80128</v>
      </c>
      <c r="K16" s="21" t="n">
        <v>160674.98464</v>
      </c>
      <c r="L16" s="21" t="n">
        <f aca="false">39000-35297.184+0.00064</f>
        <v>3702.81664</v>
      </c>
      <c r="M16" s="21"/>
      <c r="N16" s="21"/>
      <c r="O16" s="21"/>
      <c r="P16" s="21" t="n">
        <f aca="false">SUM(Q16:U16)</f>
        <v>0</v>
      </c>
      <c r="Q16" s="21"/>
      <c r="R16" s="21"/>
      <c r="S16" s="21"/>
      <c r="T16" s="21"/>
      <c r="U16" s="21"/>
      <c r="V16" s="21" t="n">
        <f aca="false">SUM(W16:AA16)</f>
        <v>0</v>
      </c>
      <c r="W16" s="21"/>
      <c r="X16" s="21"/>
      <c r="Y16" s="21"/>
      <c r="Z16" s="21"/>
      <c r="AA16" s="21"/>
      <c r="AB16" s="21" t="n">
        <f aca="false">SUM(AC16:AF16)</f>
        <v>0</v>
      </c>
      <c r="AC16" s="21"/>
      <c r="AD16" s="21"/>
      <c r="AE16" s="21"/>
      <c r="AF16" s="21"/>
      <c r="AG16" s="20" t="n">
        <f aca="false">SUM(AH16:AK16)</f>
        <v>0</v>
      </c>
      <c r="AH16" s="21"/>
      <c r="AI16" s="21"/>
      <c r="AJ16" s="21"/>
      <c r="AK16" s="21"/>
      <c r="AL16" s="15" t="s">
        <v>47</v>
      </c>
      <c r="AM16" s="15" t="s">
        <v>27</v>
      </c>
      <c r="AN16" s="15" t="s">
        <v>74</v>
      </c>
      <c r="AO16" s="15" t="s">
        <v>48</v>
      </c>
      <c r="AP16" s="15" t="s">
        <v>88</v>
      </c>
      <c r="AQ16" s="15" t="s">
        <v>50</v>
      </c>
      <c r="AR16" s="15" t="s">
        <v>51</v>
      </c>
      <c r="AS16" s="15" t="s">
        <v>50</v>
      </c>
      <c r="AT16" s="15" t="s">
        <v>50</v>
      </c>
      <c r="AU16" s="15"/>
      <c r="AV16" s="15" t="s">
        <v>89</v>
      </c>
      <c r="AW16" s="18" t="s">
        <v>90</v>
      </c>
      <c r="AX16" s="15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customFormat="false" ht="99" hidden="false" customHeight="true" outlineLevel="0" collapsed="false">
      <c r="A17" s="17" t="s">
        <v>91</v>
      </c>
      <c r="B17" s="18" t="s">
        <v>40</v>
      </c>
      <c r="C17" s="15" t="s">
        <v>41</v>
      </c>
      <c r="D17" s="18" t="s">
        <v>42</v>
      </c>
      <c r="E17" s="24" t="s">
        <v>43</v>
      </c>
      <c r="F17" s="18" t="s">
        <v>44</v>
      </c>
      <c r="G17" s="15" t="s">
        <v>92</v>
      </c>
      <c r="H17" s="15" t="s">
        <v>93</v>
      </c>
      <c r="I17" s="20" t="n">
        <f aca="false">J17+P17+V17+AB17+AG17</f>
        <v>465526.06761</v>
      </c>
      <c r="J17" s="20" t="n">
        <f aca="false">SUM(K17:O17)</f>
        <v>465526.06761</v>
      </c>
      <c r="K17" s="21" t="n">
        <v>443984.65455</v>
      </c>
      <c r="L17" s="21" t="n">
        <f aca="false">15000+11753.52-5212.10694</f>
        <v>21541.41306</v>
      </c>
      <c r="M17" s="21"/>
      <c r="N17" s="21"/>
      <c r="O17" s="21"/>
      <c r="P17" s="21" t="n">
        <f aca="false">SUM(Q17:U17)</f>
        <v>0</v>
      </c>
      <c r="Q17" s="21"/>
      <c r="R17" s="21"/>
      <c r="S17" s="21"/>
      <c r="T17" s="21"/>
      <c r="U17" s="21"/>
      <c r="V17" s="21" t="n">
        <f aca="false">SUM(W17:AA17)</f>
        <v>0</v>
      </c>
      <c r="W17" s="21"/>
      <c r="X17" s="21"/>
      <c r="Y17" s="21"/>
      <c r="Z17" s="21"/>
      <c r="AA17" s="21"/>
      <c r="AB17" s="21" t="n">
        <f aca="false">SUM(AC17:AF17)</f>
        <v>0</v>
      </c>
      <c r="AC17" s="21"/>
      <c r="AD17" s="21"/>
      <c r="AE17" s="21"/>
      <c r="AF17" s="21"/>
      <c r="AG17" s="20" t="n">
        <f aca="false">SUM(AH17:AK17)</f>
        <v>0</v>
      </c>
      <c r="AH17" s="21"/>
      <c r="AI17" s="21"/>
      <c r="AJ17" s="21"/>
      <c r="AK17" s="21"/>
      <c r="AL17" s="15" t="s">
        <v>47</v>
      </c>
      <c r="AM17" s="15" t="s">
        <v>27</v>
      </c>
      <c r="AN17" s="15"/>
      <c r="AO17" s="15" t="s">
        <v>48</v>
      </c>
      <c r="AP17" s="15" t="s">
        <v>88</v>
      </c>
      <c r="AQ17" s="15" t="s">
        <v>60</v>
      </c>
      <c r="AR17" s="15" t="s">
        <v>51</v>
      </c>
      <c r="AS17" s="15" t="s">
        <v>60</v>
      </c>
      <c r="AT17" s="15" t="s">
        <v>60</v>
      </c>
      <c r="AU17" s="15"/>
      <c r="AV17" s="15" t="s">
        <v>89</v>
      </c>
      <c r="AW17" s="15" t="s">
        <v>94</v>
      </c>
      <c r="AX17" s="15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customFormat="false" ht="99" hidden="false" customHeight="true" outlineLevel="0" collapsed="false">
      <c r="A18" s="17" t="s">
        <v>95</v>
      </c>
      <c r="B18" s="18" t="s">
        <v>40</v>
      </c>
      <c r="C18" s="15" t="s">
        <v>41</v>
      </c>
      <c r="D18" s="18" t="s">
        <v>42</v>
      </c>
      <c r="E18" s="24" t="s">
        <v>43</v>
      </c>
      <c r="F18" s="18" t="s">
        <v>44</v>
      </c>
      <c r="G18" s="15" t="s">
        <v>96</v>
      </c>
      <c r="H18" s="15" t="s">
        <v>97</v>
      </c>
      <c r="I18" s="20" t="n">
        <f aca="false">J18+P18+V18+AB18+AG18</f>
        <v>2402647.0733</v>
      </c>
      <c r="J18" s="20" t="n">
        <f aca="false">SUM(K18:O18)</f>
        <v>592547.97346</v>
      </c>
      <c r="K18" s="21" t="n">
        <f aca="false">433776.51726+113546.4</f>
        <v>547322.91726</v>
      </c>
      <c r="L18" s="21" t="n">
        <f aca="false">14900+6600+8474.8158+15250.2404</f>
        <v>45225.0562</v>
      </c>
      <c r="M18" s="21"/>
      <c r="N18" s="21"/>
      <c r="O18" s="21"/>
      <c r="P18" s="21" t="n">
        <f aca="false">SUM(Q18:U18)</f>
        <v>1097044.06624</v>
      </c>
      <c r="Q18" s="21"/>
      <c r="R18" s="21" t="n">
        <f aca="false">0+1162544.06624-65500</f>
        <v>1097044.06624</v>
      </c>
      <c r="S18" s="21"/>
      <c r="T18" s="21"/>
      <c r="U18" s="21"/>
      <c r="V18" s="21" t="n">
        <f aca="false">SUM(W18:AA18)</f>
        <v>713055.0336</v>
      </c>
      <c r="W18" s="21"/>
      <c r="X18" s="21" t="n">
        <f aca="false">0+713055.0336</f>
        <v>713055.0336</v>
      </c>
      <c r="Y18" s="21"/>
      <c r="Z18" s="21"/>
      <c r="AA18" s="21"/>
      <c r="AB18" s="21" t="n">
        <f aca="false">SUM(AC18:AF18)</f>
        <v>0</v>
      </c>
      <c r="AC18" s="21"/>
      <c r="AD18" s="21"/>
      <c r="AE18" s="21"/>
      <c r="AF18" s="21"/>
      <c r="AG18" s="20" t="n">
        <f aca="false">SUM(AH18:AK18)</f>
        <v>0</v>
      </c>
      <c r="AH18" s="21"/>
      <c r="AI18" s="21"/>
      <c r="AJ18" s="21"/>
      <c r="AK18" s="21"/>
      <c r="AL18" s="15" t="s">
        <v>47</v>
      </c>
      <c r="AM18" s="15" t="s">
        <v>27</v>
      </c>
      <c r="AN18" s="15" t="s">
        <v>25</v>
      </c>
      <c r="AO18" s="15" t="s">
        <v>48</v>
      </c>
      <c r="AP18" s="15" t="s">
        <v>88</v>
      </c>
      <c r="AQ18" s="15" t="s">
        <v>60</v>
      </c>
      <c r="AR18" s="15" t="s">
        <v>51</v>
      </c>
      <c r="AS18" s="15" t="s">
        <v>60</v>
      </c>
      <c r="AT18" s="15" t="s">
        <v>60</v>
      </c>
      <c r="AU18" s="15"/>
      <c r="AV18" s="15" t="s">
        <v>89</v>
      </c>
      <c r="AW18" s="15" t="s">
        <v>98</v>
      </c>
      <c r="AX18" s="15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customFormat="false" ht="99" hidden="false" customHeight="true" outlineLevel="0" collapsed="false">
      <c r="A19" s="17" t="s">
        <v>99</v>
      </c>
      <c r="B19" s="18" t="s">
        <v>40</v>
      </c>
      <c r="C19" s="18" t="s">
        <v>41</v>
      </c>
      <c r="D19" s="22" t="s">
        <v>65</v>
      </c>
      <c r="E19" s="19" t="s">
        <v>43</v>
      </c>
      <c r="F19" s="18" t="s">
        <v>44</v>
      </c>
      <c r="G19" s="18" t="s">
        <v>100</v>
      </c>
      <c r="H19" s="18" t="s">
        <v>67</v>
      </c>
      <c r="I19" s="20" t="n">
        <f aca="false">J19+P19+V19+AB19+AG19</f>
        <v>50429.0658</v>
      </c>
      <c r="J19" s="20" t="n">
        <f aca="false">SUM(K19:O19)</f>
        <v>50429.0658</v>
      </c>
      <c r="K19" s="21"/>
      <c r="L19" s="21" t="n">
        <f aca="false">0+50429.0658</f>
        <v>50429.0658</v>
      </c>
      <c r="M19" s="21"/>
      <c r="N19" s="21"/>
      <c r="O19" s="21"/>
      <c r="P19" s="21" t="n">
        <f aca="false">SUM(Q19:U19)</f>
        <v>0</v>
      </c>
      <c r="Q19" s="21"/>
      <c r="R19" s="21"/>
      <c r="S19" s="21"/>
      <c r="T19" s="21"/>
      <c r="U19" s="21"/>
      <c r="V19" s="21" t="n">
        <f aca="false">SUM(W19:AA19)</f>
        <v>0</v>
      </c>
      <c r="W19" s="21"/>
      <c r="X19" s="21"/>
      <c r="Y19" s="21"/>
      <c r="Z19" s="21"/>
      <c r="AA19" s="21"/>
      <c r="AB19" s="21" t="n">
        <f aca="false">SUM(AC19:AF19)</f>
        <v>0</v>
      </c>
      <c r="AC19" s="21"/>
      <c r="AD19" s="21"/>
      <c r="AE19" s="21"/>
      <c r="AF19" s="21"/>
      <c r="AG19" s="20" t="n">
        <f aca="false">SUM(AH19:AK19)</f>
        <v>0</v>
      </c>
      <c r="AH19" s="21"/>
      <c r="AI19" s="21"/>
      <c r="AJ19" s="21"/>
      <c r="AK19" s="21"/>
      <c r="AL19" s="18" t="s">
        <v>68</v>
      </c>
      <c r="AM19" s="18"/>
      <c r="AN19" s="18" t="s">
        <v>25</v>
      </c>
      <c r="AO19" s="22" t="s">
        <v>48</v>
      </c>
      <c r="AP19" s="18" t="s">
        <v>101</v>
      </c>
      <c r="AQ19" s="18" t="s">
        <v>60</v>
      </c>
      <c r="AR19" s="18" t="s">
        <v>51</v>
      </c>
      <c r="AS19" s="18" t="s">
        <v>60</v>
      </c>
      <c r="AT19" s="18" t="s">
        <v>60</v>
      </c>
      <c r="AU19" s="23"/>
      <c r="AV19" s="18" t="s">
        <v>53</v>
      </c>
      <c r="AW19" s="18" t="s">
        <v>102</v>
      </c>
      <c r="AX19" s="2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customFormat="false" ht="114" hidden="false" customHeight="true" outlineLevel="0" collapsed="false">
      <c r="A20" s="17" t="s">
        <v>103</v>
      </c>
      <c r="B20" s="18" t="s">
        <v>104</v>
      </c>
      <c r="C20" s="18" t="s">
        <v>41</v>
      </c>
      <c r="D20" s="22" t="s">
        <v>105</v>
      </c>
      <c r="E20" s="19" t="s">
        <v>106</v>
      </c>
      <c r="F20" s="18" t="s">
        <v>107</v>
      </c>
      <c r="G20" s="18" t="s">
        <v>108</v>
      </c>
      <c r="H20" s="18" t="s">
        <v>67</v>
      </c>
      <c r="I20" s="20" t="n">
        <f aca="false">J20+P20+V20+AB20+AG20</f>
        <v>241056.93634</v>
      </c>
      <c r="J20" s="20" t="n">
        <f aca="false">SUM(K20:O20)</f>
        <v>175556.93634</v>
      </c>
      <c r="K20" s="21" t="n">
        <v>150000</v>
      </c>
      <c r="L20" s="21" t="n">
        <f aca="false">205538.35-40000-7000-134011.41366+1030</f>
        <v>25556.93634</v>
      </c>
      <c r="M20" s="21"/>
      <c r="N20" s="21"/>
      <c r="O20" s="21"/>
      <c r="P20" s="21" t="n">
        <f aca="false">SUM(Q20:U20)</f>
        <v>65500</v>
      </c>
      <c r="Q20" s="21"/>
      <c r="R20" s="21" t="n">
        <f aca="false">0+65500</f>
        <v>65500</v>
      </c>
      <c r="S20" s="21"/>
      <c r="T20" s="21"/>
      <c r="U20" s="21"/>
      <c r="V20" s="21" t="n">
        <f aca="false">SUM(W20:AA20)</f>
        <v>0</v>
      </c>
      <c r="W20" s="21"/>
      <c r="X20" s="21"/>
      <c r="Y20" s="21"/>
      <c r="Z20" s="21"/>
      <c r="AA20" s="21"/>
      <c r="AB20" s="21" t="n">
        <f aca="false">SUM(AC20:AF20)</f>
        <v>0</v>
      </c>
      <c r="AC20" s="21"/>
      <c r="AD20" s="21"/>
      <c r="AE20" s="21"/>
      <c r="AF20" s="21"/>
      <c r="AG20" s="20" t="n">
        <f aca="false">SUM(AH20:AK20)</f>
        <v>0</v>
      </c>
      <c r="AH20" s="21"/>
      <c r="AI20" s="21"/>
      <c r="AJ20" s="21"/>
      <c r="AK20" s="21"/>
      <c r="AL20" s="18" t="s">
        <v>109</v>
      </c>
      <c r="AM20" s="18" t="s">
        <v>27</v>
      </c>
      <c r="AN20" s="18"/>
      <c r="AO20" s="18" t="s">
        <v>48</v>
      </c>
      <c r="AP20" s="18" t="s">
        <v>110</v>
      </c>
      <c r="AQ20" s="18" t="s">
        <v>50</v>
      </c>
      <c r="AR20" s="18" t="s">
        <v>111</v>
      </c>
      <c r="AS20" s="18" t="s">
        <v>50</v>
      </c>
      <c r="AT20" s="18" t="s">
        <v>50</v>
      </c>
      <c r="AU20" s="22" t="s">
        <v>112</v>
      </c>
      <c r="AV20" s="22" t="s">
        <v>53</v>
      </c>
      <c r="AW20" s="22" t="s">
        <v>54</v>
      </c>
      <c r="AX20" s="22" t="s">
        <v>113</v>
      </c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customFormat="false" ht="113.25" hidden="false" customHeight="true" outlineLevel="0" collapsed="false">
      <c r="A21" s="17" t="s">
        <v>114</v>
      </c>
      <c r="B21" s="18" t="s">
        <v>104</v>
      </c>
      <c r="C21" s="14" t="s">
        <v>111</v>
      </c>
      <c r="D21" s="14" t="s">
        <v>115</v>
      </c>
      <c r="E21" s="17" t="s">
        <v>106</v>
      </c>
      <c r="F21" s="18" t="s">
        <v>107</v>
      </c>
      <c r="G21" s="14" t="s">
        <v>116</v>
      </c>
      <c r="H21" s="14" t="s">
        <v>117</v>
      </c>
      <c r="I21" s="20" t="n">
        <f aca="false">J21+P21+V21+AB21+AG21</f>
        <v>515158</v>
      </c>
      <c r="J21" s="20" t="n">
        <f aca="false">SUM(K21:O21)</f>
        <v>126547.4</v>
      </c>
      <c r="K21" s="25" t="n">
        <f aca="false">164881.9-39600</f>
        <v>125281.9</v>
      </c>
      <c r="L21" s="25" t="n">
        <f aca="false">1665.5-400</f>
        <v>1265.5</v>
      </c>
      <c r="M21" s="25"/>
      <c r="N21" s="25"/>
      <c r="O21" s="25"/>
      <c r="P21" s="21" t="n">
        <f aca="false">SUM(Q21:U21)</f>
        <v>388610.6</v>
      </c>
      <c r="Q21" s="21" t="n">
        <v>341977.3</v>
      </c>
      <c r="R21" s="25" t="n">
        <v>46633.3</v>
      </c>
      <c r="S21" s="25"/>
      <c r="T21" s="25"/>
      <c r="U21" s="25"/>
      <c r="V21" s="21" t="n">
        <f aca="false">SUM(W21:AA21)</f>
        <v>0</v>
      </c>
      <c r="W21" s="25"/>
      <c r="X21" s="25"/>
      <c r="Y21" s="25"/>
      <c r="Z21" s="25"/>
      <c r="AA21" s="25"/>
      <c r="AB21" s="21" t="n">
        <f aca="false">SUM(AC21:AF21)</f>
        <v>0</v>
      </c>
      <c r="AC21" s="25"/>
      <c r="AD21" s="25"/>
      <c r="AE21" s="25"/>
      <c r="AF21" s="25"/>
      <c r="AG21" s="20" t="n">
        <f aca="false">SUM(AH21:AK21)</f>
        <v>0</v>
      </c>
      <c r="AH21" s="25"/>
      <c r="AI21" s="25"/>
      <c r="AJ21" s="25"/>
      <c r="AK21" s="25"/>
      <c r="AL21" s="14" t="s">
        <v>118</v>
      </c>
      <c r="AM21" s="16"/>
      <c r="AN21" s="16" t="s">
        <v>26</v>
      </c>
      <c r="AO21" s="26" t="s">
        <v>119</v>
      </c>
      <c r="AP21" s="16"/>
      <c r="AQ21" s="26" t="s">
        <v>120</v>
      </c>
      <c r="AR21" s="14" t="s">
        <v>111</v>
      </c>
      <c r="AS21" s="26" t="s">
        <v>121</v>
      </c>
      <c r="AT21" s="26" t="s">
        <v>121</v>
      </c>
      <c r="AU21" s="16"/>
      <c r="AV21" s="18" t="s">
        <v>53</v>
      </c>
      <c r="AW21" s="16" t="s">
        <v>90</v>
      </c>
      <c r="AX21" s="16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customFormat="false" ht="113.25" hidden="false" customHeight="true" outlineLevel="0" collapsed="false">
      <c r="A22" s="17" t="s">
        <v>122</v>
      </c>
      <c r="B22" s="14" t="s">
        <v>104</v>
      </c>
      <c r="C22" s="18" t="s">
        <v>41</v>
      </c>
      <c r="D22" s="22" t="s">
        <v>123</v>
      </c>
      <c r="E22" s="17" t="s">
        <v>124</v>
      </c>
      <c r="F22" s="18" t="s">
        <v>125</v>
      </c>
      <c r="G22" s="14" t="s">
        <v>126</v>
      </c>
      <c r="H22" s="15" t="s">
        <v>117</v>
      </c>
      <c r="I22" s="20" t="n">
        <f aca="false">J22+P22+V22+AB22+AG22</f>
        <v>145849.97522</v>
      </c>
      <c r="J22" s="20" t="n">
        <f aca="false">SUM(K22:O22)</f>
        <v>145849.97522</v>
      </c>
      <c r="K22" s="25"/>
      <c r="L22" s="25" t="n">
        <f aca="false">230152.77-83680.77375-622.02103</f>
        <v>145849.97522</v>
      </c>
      <c r="M22" s="25"/>
      <c r="N22" s="25"/>
      <c r="O22" s="25"/>
      <c r="P22" s="21" t="n">
        <f aca="false">SUM(Q22:U22)</f>
        <v>0</v>
      </c>
      <c r="Q22" s="21"/>
      <c r="R22" s="25"/>
      <c r="S22" s="25"/>
      <c r="T22" s="25"/>
      <c r="U22" s="25"/>
      <c r="V22" s="21" t="n">
        <f aca="false">SUM(W22:AA22)</f>
        <v>0</v>
      </c>
      <c r="W22" s="25"/>
      <c r="X22" s="25"/>
      <c r="Y22" s="25"/>
      <c r="Z22" s="25"/>
      <c r="AA22" s="25"/>
      <c r="AB22" s="21" t="n">
        <f aca="false">SUM(AC22:AF22)</f>
        <v>0</v>
      </c>
      <c r="AC22" s="25"/>
      <c r="AD22" s="25"/>
      <c r="AE22" s="25"/>
      <c r="AF22" s="25"/>
      <c r="AG22" s="20" t="n">
        <f aca="false">SUM(AH22:AK22)</f>
        <v>0</v>
      </c>
      <c r="AH22" s="25"/>
      <c r="AI22" s="25"/>
      <c r="AJ22" s="25"/>
      <c r="AK22" s="25"/>
      <c r="AL22" s="18" t="s">
        <v>127</v>
      </c>
      <c r="AM22" s="15" t="s">
        <v>25</v>
      </c>
      <c r="AN22" s="15"/>
      <c r="AO22" s="15" t="s">
        <v>48</v>
      </c>
      <c r="AP22" s="15" t="s">
        <v>128</v>
      </c>
      <c r="AQ22" s="15" t="s">
        <v>50</v>
      </c>
      <c r="AR22" s="15" t="s">
        <v>111</v>
      </c>
      <c r="AS22" s="18" t="s">
        <v>50</v>
      </c>
      <c r="AT22" s="18" t="s">
        <v>50</v>
      </c>
      <c r="AU22" s="15" t="s">
        <v>129</v>
      </c>
      <c r="AV22" s="15" t="s">
        <v>130</v>
      </c>
      <c r="AW22" s="15" t="s">
        <v>131</v>
      </c>
      <c r="AX22" s="15" t="s">
        <v>132</v>
      </c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customFormat="false" ht="117" hidden="false" customHeight="true" outlineLevel="0" collapsed="false">
      <c r="A23" s="17" t="s">
        <v>133</v>
      </c>
      <c r="B23" s="18" t="s">
        <v>134</v>
      </c>
      <c r="C23" s="18" t="s">
        <v>41</v>
      </c>
      <c r="D23" s="22" t="s">
        <v>135</v>
      </c>
      <c r="E23" s="19" t="s">
        <v>136</v>
      </c>
      <c r="F23" s="18" t="s">
        <v>137</v>
      </c>
      <c r="G23" s="18" t="s">
        <v>138</v>
      </c>
      <c r="H23" s="18" t="s">
        <v>139</v>
      </c>
      <c r="I23" s="20" t="n">
        <f aca="false">J23+P23+V23+AB23+AG23</f>
        <v>165610.50109</v>
      </c>
      <c r="J23" s="20" t="n">
        <f aca="false">SUM(K23:O23)</f>
        <v>165610.50109</v>
      </c>
      <c r="K23" s="21"/>
      <c r="L23" s="21" t="n">
        <f aca="false">208306.407-30000-10000-8695.90591+3000+3000</f>
        <v>165610.50109</v>
      </c>
      <c r="M23" s="21"/>
      <c r="N23" s="21"/>
      <c r="O23" s="21"/>
      <c r="P23" s="21" t="n">
        <f aca="false">SUM(Q23:U23)</f>
        <v>0</v>
      </c>
      <c r="Q23" s="21"/>
      <c r="R23" s="21"/>
      <c r="S23" s="21"/>
      <c r="T23" s="21"/>
      <c r="U23" s="21"/>
      <c r="V23" s="21" t="n">
        <f aca="false">SUM(W23:AA23)</f>
        <v>0</v>
      </c>
      <c r="W23" s="21"/>
      <c r="X23" s="21"/>
      <c r="Y23" s="21"/>
      <c r="Z23" s="21"/>
      <c r="AA23" s="21"/>
      <c r="AB23" s="21" t="n">
        <f aca="false">SUM(AC23:AF23)</f>
        <v>0</v>
      </c>
      <c r="AC23" s="21"/>
      <c r="AD23" s="21"/>
      <c r="AE23" s="21"/>
      <c r="AF23" s="21"/>
      <c r="AG23" s="20" t="n">
        <f aca="false">SUM(AH23:AK23)</f>
        <v>0</v>
      </c>
      <c r="AH23" s="21"/>
      <c r="AI23" s="21"/>
      <c r="AJ23" s="21"/>
      <c r="AK23" s="21"/>
      <c r="AL23" s="18" t="s">
        <v>140</v>
      </c>
      <c r="AM23" s="18" t="s">
        <v>25</v>
      </c>
      <c r="AN23" s="18"/>
      <c r="AO23" s="18" t="s">
        <v>48</v>
      </c>
      <c r="AP23" s="18" t="s">
        <v>141</v>
      </c>
      <c r="AQ23" s="18" t="s">
        <v>50</v>
      </c>
      <c r="AR23" s="18" t="s">
        <v>142</v>
      </c>
      <c r="AS23" s="18" t="s">
        <v>41</v>
      </c>
      <c r="AT23" s="18" t="s">
        <v>50</v>
      </c>
      <c r="AU23" s="18" t="s">
        <v>143</v>
      </c>
      <c r="AV23" s="18" t="s">
        <v>53</v>
      </c>
      <c r="AW23" s="18" t="s">
        <v>54</v>
      </c>
      <c r="AX23" s="18" t="s">
        <v>144</v>
      </c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customFormat="false" ht="112.5" hidden="false" customHeight="true" outlineLevel="0" collapsed="false">
      <c r="A24" s="17" t="s">
        <v>145</v>
      </c>
      <c r="B24" s="18" t="s">
        <v>134</v>
      </c>
      <c r="C24" s="18" t="s">
        <v>41</v>
      </c>
      <c r="D24" s="22" t="s">
        <v>135</v>
      </c>
      <c r="E24" s="19" t="s">
        <v>146</v>
      </c>
      <c r="F24" s="18" t="s">
        <v>147</v>
      </c>
      <c r="G24" s="18" t="s">
        <v>148</v>
      </c>
      <c r="H24" s="18" t="s">
        <v>117</v>
      </c>
      <c r="I24" s="20" t="n">
        <f aca="false">J24+P24+V24+AB24+AG24</f>
        <v>490747.57433</v>
      </c>
      <c r="J24" s="20" t="n">
        <f aca="false">SUM(K24:O24)</f>
        <v>21417.45433</v>
      </c>
      <c r="K24" s="21"/>
      <c r="L24" s="20" t="n">
        <f aca="false">579376.52-110000-6177.18043-451799.17485+2000+5700+2317.28961</f>
        <v>21417.45433</v>
      </c>
      <c r="M24" s="21"/>
      <c r="N24" s="21"/>
      <c r="O24" s="21"/>
      <c r="P24" s="21" t="n">
        <f aca="false">SUM(Q24:U24)</f>
        <v>469330.12</v>
      </c>
      <c r="Q24" s="21"/>
      <c r="R24" s="21" t="n">
        <f aca="false">0+469330.12</f>
        <v>469330.12</v>
      </c>
      <c r="S24" s="21"/>
      <c r="T24" s="21"/>
      <c r="U24" s="21"/>
      <c r="V24" s="21" t="n">
        <f aca="false">SUM(W24:AA24)</f>
        <v>0</v>
      </c>
      <c r="W24" s="21"/>
      <c r="X24" s="21"/>
      <c r="Y24" s="21"/>
      <c r="Z24" s="21"/>
      <c r="AA24" s="21"/>
      <c r="AB24" s="21" t="n">
        <f aca="false">SUM(AC24:AF24)</f>
        <v>0</v>
      </c>
      <c r="AC24" s="21"/>
      <c r="AD24" s="21"/>
      <c r="AE24" s="21"/>
      <c r="AF24" s="21"/>
      <c r="AG24" s="20" t="n">
        <f aca="false">SUM(AH24:AK24)</f>
        <v>0</v>
      </c>
      <c r="AH24" s="21"/>
      <c r="AI24" s="21"/>
      <c r="AJ24" s="21"/>
      <c r="AK24" s="21"/>
      <c r="AL24" s="18" t="s">
        <v>140</v>
      </c>
      <c r="AM24" s="18" t="s">
        <v>26</v>
      </c>
      <c r="AN24" s="18"/>
      <c r="AO24" s="18" t="s">
        <v>48</v>
      </c>
      <c r="AP24" s="18" t="s">
        <v>149</v>
      </c>
      <c r="AQ24" s="18" t="s">
        <v>50</v>
      </c>
      <c r="AR24" s="18" t="s">
        <v>142</v>
      </c>
      <c r="AS24" s="18" t="s">
        <v>41</v>
      </c>
      <c r="AT24" s="18" t="s">
        <v>50</v>
      </c>
      <c r="AU24" s="22" t="s">
        <v>150</v>
      </c>
      <c r="AV24" s="18" t="s">
        <v>53</v>
      </c>
      <c r="AW24" s="18" t="s">
        <v>54</v>
      </c>
      <c r="AX24" s="22" t="s">
        <v>151</v>
      </c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customFormat="false" ht="112.5" hidden="false" customHeight="true" outlineLevel="0" collapsed="false">
      <c r="A25" s="17" t="s">
        <v>152</v>
      </c>
      <c r="B25" s="18" t="s">
        <v>134</v>
      </c>
      <c r="C25" s="26" t="s">
        <v>142</v>
      </c>
      <c r="D25" s="26" t="s">
        <v>135</v>
      </c>
      <c r="E25" s="19" t="s">
        <v>146</v>
      </c>
      <c r="F25" s="26" t="s">
        <v>153</v>
      </c>
      <c r="G25" s="26" t="s">
        <v>154</v>
      </c>
      <c r="H25" s="26" t="s">
        <v>117</v>
      </c>
      <c r="I25" s="20" t="n">
        <f aca="false">J25+P25+V25+AB25+AG25</f>
        <v>61519.73706</v>
      </c>
      <c r="J25" s="27" t="n">
        <f aca="false">K25+M25</f>
        <v>61519.73706</v>
      </c>
      <c r="K25" s="27" t="n">
        <v>57739.42</v>
      </c>
      <c r="L25" s="28"/>
      <c r="M25" s="27" t="n">
        <v>3780.31706</v>
      </c>
      <c r="N25" s="29"/>
      <c r="O25" s="29"/>
      <c r="P25" s="21" t="n">
        <f aca="false">SUM(Q25:U25)</f>
        <v>0</v>
      </c>
      <c r="Q25" s="21"/>
      <c r="R25" s="21"/>
      <c r="S25" s="21"/>
      <c r="T25" s="21"/>
      <c r="U25" s="21"/>
      <c r="V25" s="21" t="n">
        <f aca="false">SUM(W25:AA25)</f>
        <v>0</v>
      </c>
      <c r="W25" s="21"/>
      <c r="X25" s="21"/>
      <c r="Y25" s="21"/>
      <c r="Z25" s="21"/>
      <c r="AA25" s="21"/>
      <c r="AB25" s="21" t="n">
        <f aca="false">SUM(AC25:AF25)</f>
        <v>0</v>
      </c>
      <c r="AC25" s="21"/>
      <c r="AD25" s="21"/>
      <c r="AE25" s="21"/>
      <c r="AF25" s="21"/>
      <c r="AG25" s="20" t="n">
        <f aca="false">SUM(AH25:AK25)</f>
        <v>0</v>
      </c>
      <c r="AH25" s="21"/>
      <c r="AI25" s="21"/>
      <c r="AJ25" s="21"/>
      <c r="AK25" s="21"/>
      <c r="AL25" s="26" t="s">
        <v>140</v>
      </c>
      <c r="AM25" s="26" t="s">
        <v>25</v>
      </c>
      <c r="AN25" s="26"/>
      <c r="AO25" s="26" t="s">
        <v>155</v>
      </c>
      <c r="AP25" s="26" t="s">
        <v>156</v>
      </c>
      <c r="AQ25" s="26" t="s">
        <v>117</v>
      </c>
      <c r="AR25" s="26" t="s">
        <v>142</v>
      </c>
      <c r="AS25" s="26" t="s">
        <v>157</v>
      </c>
      <c r="AT25" s="26" t="s">
        <v>157</v>
      </c>
      <c r="AU25" s="30" t="s">
        <v>158</v>
      </c>
      <c r="AV25" s="26" t="s">
        <v>159</v>
      </c>
      <c r="AW25" s="29" t="s">
        <v>54</v>
      </c>
      <c r="AX25" s="29" t="s">
        <v>160</v>
      </c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customFormat="false" ht="125.25" hidden="false" customHeight="true" outlineLevel="0" collapsed="false">
      <c r="A26" s="17" t="s">
        <v>161</v>
      </c>
      <c r="B26" s="18" t="s">
        <v>134</v>
      </c>
      <c r="C26" s="26" t="s">
        <v>162</v>
      </c>
      <c r="D26" s="26" t="s">
        <v>135</v>
      </c>
      <c r="E26" s="19" t="s">
        <v>146</v>
      </c>
      <c r="F26" s="26" t="s">
        <v>153</v>
      </c>
      <c r="G26" s="26" t="s">
        <v>163</v>
      </c>
      <c r="H26" s="26" t="s">
        <v>117</v>
      </c>
      <c r="I26" s="20" t="n">
        <f aca="false">J26+P26+V26+AB26+AG26</f>
        <v>0</v>
      </c>
      <c r="J26" s="27" t="n">
        <f aca="false">SUM(K26:O26)</f>
        <v>0</v>
      </c>
      <c r="K26" s="27"/>
      <c r="L26" s="28"/>
      <c r="M26" s="27"/>
      <c r="N26" s="31"/>
      <c r="O26" s="31"/>
      <c r="P26" s="21" t="n">
        <f aca="false">SUM(Q26:U26)</f>
        <v>0</v>
      </c>
      <c r="Q26" s="21"/>
      <c r="R26" s="21"/>
      <c r="S26" s="21"/>
      <c r="T26" s="21"/>
      <c r="U26" s="21"/>
      <c r="V26" s="21" t="n">
        <f aca="false">SUM(W26:AA26)</f>
        <v>0</v>
      </c>
      <c r="W26" s="21"/>
      <c r="X26" s="21"/>
      <c r="Y26" s="21"/>
      <c r="Z26" s="21"/>
      <c r="AA26" s="21"/>
      <c r="AB26" s="21" t="n">
        <f aca="false">SUM(AC26:AF26)</f>
        <v>0</v>
      </c>
      <c r="AC26" s="21"/>
      <c r="AD26" s="21"/>
      <c r="AE26" s="21"/>
      <c r="AF26" s="21"/>
      <c r="AG26" s="20" t="n">
        <f aca="false">SUM(AH26:AK26)</f>
        <v>0</v>
      </c>
      <c r="AH26" s="21"/>
      <c r="AI26" s="21"/>
      <c r="AJ26" s="21"/>
      <c r="AK26" s="21"/>
      <c r="AL26" s="26" t="s">
        <v>140</v>
      </c>
      <c r="AM26" s="26" t="s">
        <v>25</v>
      </c>
      <c r="AN26" s="26"/>
      <c r="AO26" s="26" t="s">
        <v>48</v>
      </c>
      <c r="AP26" s="26" t="s">
        <v>164</v>
      </c>
      <c r="AQ26" s="26" t="s">
        <v>162</v>
      </c>
      <c r="AR26" s="26" t="s">
        <v>142</v>
      </c>
      <c r="AS26" s="26" t="s">
        <v>162</v>
      </c>
      <c r="AT26" s="26" t="s">
        <v>162</v>
      </c>
      <c r="AU26" s="30"/>
      <c r="AV26" s="26" t="s">
        <v>130</v>
      </c>
      <c r="AW26" s="29" t="s">
        <v>165</v>
      </c>
      <c r="AX26" s="29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customFormat="false" ht="128.25" hidden="false" customHeight="true" outlineLevel="0" collapsed="false">
      <c r="A27" s="17" t="s">
        <v>166</v>
      </c>
      <c r="B27" s="18" t="s">
        <v>134</v>
      </c>
      <c r="C27" s="26" t="s">
        <v>162</v>
      </c>
      <c r="D27" s="26" t="s">
        <v>135</v>
      </c>
      <c r="E27" s="19" t="s">
        <v>146</v>
      </c>
      <c r="F27" s="26" t="s">
        <v>153</v>
      </c>
      <c r="G27" s="26" t="s">
        <v>167</v>
      </c>
      <c r="H27" s="26" t="s">
        <v>117</v>
      </c>
      <c r="I27" s="20" t="n">
        <f aca="false">J27+P27+V27+AB27+AG27</f>
        <v>0</v>
      </c>
      <c r="J27" s="27" t="n">
        <f aca="false">SUM(K27:O27)</f>
        <v>0</v>
      </c>
      <c r="K27" s="27"/>
      <c r="L27" s="28"/>
      <c r="M27" s="27"/>
      <c r="N27" s="31"/>
      <c r="O27" s="31"/>
      <c r="P27" s="21" t="n">
        <f aca="false">SUM(Q27:U27)</f>
        <v>0</v>
      </c>
      <c r="Q27" s="21"/>
      <c r="R27" s="21"/>
      <c r="S27" s="21"/>
      <c r="T27" s="21"/>
      <c r="U27" s="21"/>
      <c r="V27" s="21" t="n">
        <f aca="false">SUM(W27:AA27)</f>
        <v>0</v>
      </c>
      <c r="W27" s="21"/>
      <c r="X27" s="21"/>
      <c r="Y27" s="21"/>
      <c r="Z27" s="21"/>
      <c r="AA27" s="21"/>
      <c r="AB27" s="21" t="n">
        <f aca="false">SUM(AC27:AF27)</f>
        <v>0</v>
      </c>
      <c r="AC27" s="21"/>
      <c r="AD27" s="21"/>
      <c r="AE27" s="21"/>
      <c r="AF27" s="21"/>
      <c r="AG27" s="20" t="n">
        <f aca="false">SUM(AH27:AK27)</f>
        <v>0</v>
      </c>
      <c r="AH27" s="21"/>
      <c r="AI27" s="21"/>
      <c r="AJ27" s="21"/>
      <c r="AK27" s="21"/>
      <c r="AL27" s="26" t="s">
        <v>140</v>
      </c>
      <c r="AM27" s="26" t="s">
        <v>25</v>
      </c>
      <c r="AN27" s="26"/>
      <c r="AO27" s="26" t="s">
        <v>48</v>
      </c>
      <c r="AP27" s="26" t="s">
        <v>168</v>
      </c>
      <c r="AQ27" s="26" t="s">
        <v>162</v>
      </c>
      <c r="AR27" s="26" t="s">
        <v>142</v>
      </c>
      <c r="AS27" s="26" t="s">
        <v>162</v>
      </c>
      <c r="AT27" s="26" t="s">
        <v>162</v>
      </c>
      <c r="AU27" s="30"/>
      <c r="AV27" s="26" t="s">
        <v>130</v>
      </c>
      <c r="AW27" s="29" t="s">
        <v>165</v>
      </c>
      <c r="AX27" s="29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customFormat="false" ht="126" hidden="false" customHeight="true" outlineLevel="0" collapsed="false">
      <c r="A28" s="17" t="s">
        <v>169</v>
      </c>
      <c r="B28" s="18" t="s">
        <v>134</v>
      </c>
      <c r="C28" s="26" t="s">
        <v>162</v>
      </c>
      <c r="D28" s="26" t="s">
        <v>135</v>
      </c>
      <c r="E28" s="19" t="s">
        <v>146</v>
      </c>
      <c r="F28" s="26" t="s">
        <v>153</v>
      </c>
      <c r="G28" s="26" t="s">
        <v>170</v>
      </c>
      <c r="H28" s="26" t="s">
        <v>117</v>
      </c>
      <c r="I28" s="20" t="n">
        <f aca="false">J28+P28+V28+AB28+AG28</f>
        <v>0</v>
      </c>
      <c r="J28" s="27" t="n">
        <f aca="false">SUM(K28:O28)</f>
        <v>0</v>
      </c>
      <c r="K28" s="27"/>
      <c r="L28" s="28"/>
      <c r="M28" s="27"/>
      <c r="N28" s="31"/>
      <c r="O28" s="31"/>
      <c r="P28" s="21" t="n">
        <f aca="false">SUM(Q28:U28)</f>
        <v>0</v>
      </c>
      <c r="Q28" s="21"/>
      <c r="R28" s="21"/>
      <c r="S28" s="21"/>
      <c r="T28" s="21"/>
      <c r="U28" s="21"/>
      <c r="V28" s="21" t="n">
        <f aca="false">SUM(W28:AA28)</f>
        <v>0</v>
      </c>
      <c r="W28" s="21"/>
      <c r="X28" s="21"/>
      <c r="Y28" s="21"/>
      <c r="Z28" s="21"/>
      <c r="AA28" s="21"/>
      <c r="AB28" s="21" t="n">
        <f aca="false">SUM(AC28:AF28)</f>
        <v>0</v>
      </c>
      <c r="AC28" s="21"/>
      <c r="AD28" s="21"/>
      <c r="AE28" s="21"/>
      <c r="AF28" s="21"/>
      <c r="AG28" s="20" t="n">
        <f aca="false">SUM(AH28:AK28)</f>
        <v>0</v>
      </c>
      <c r="AH28" s="21"/>
      <c r="AI28" s="21"/>
      <c r="AJ28" s="21"/>
      <c r="AK28" s="21"/>
      <c r="AL28" s="26" t="s">
        <v>140</v>
      </c>
      <c r="AM28" s="26" t="s">
        <v>25</v>
      </c>
      <c r="AN28" s="26"/>
      <c r="AO28" s="26" t="s">
        <v>48</v>
      </c>
      <c r="AP28" s="26" t="s">
        <v>171</v>
      </c>
      <c r="AQ28" s="26" t="s">
        <v>162</v>
      </c>
      <c r="AR28" s="26" t="s">
        <v>142</v>
      </c>
      <c r="AS28" s="26" t="s">
        <v>162</v>
      </c>
      <c r="AT28" s="26" t="s">
        <v>162</v>
      </c>
      <c r="AU28" s="30"/>
      <c r="AV28" s="26" t="s">
        <v>130</v>
      </c>
      <c r="AW28" s="29" t="s">
        <v>165</v>
      </c>
      <c r="AX28" s="29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customFormat="false" ht="106.5" hidden="false" customHeight="true" outlineLevel="0" collapsed="false">
      <c r="A29" s="17" t="s">
        <v>172</v>
      </c>
      <c r="B29" s="18" t="s">
        <v>173</v>
      </c>
      <c r="C29" s="18" t="s">
        <v>41</v>
      </c>
      <c r="D29" s="22" t="s">
        <v>174</v>
      </c>
      <c r="E29" s="19" t="s">
        <v>175</v>
      </c>
      <c r="F29" s="18" t="s">
        <v>176</v>
      </c>
      <c r="G29" s="18" t="s">
        <v>177</v>
      </c>
      <c r="H29" s="18" t="s">
        <v>178</v>
      </c>
      <c r="I29" s="20" t="n">
        <f aca="false">J29+P29+V29+AB29+AG29</f>
        <v>658100</v>
      </c>
      <c r="J29" s="20" t="n">
        <f aca="false">SUM(K29:O29)</f>
        <v>0</v>
      </c>
      <c r="K29" s="21"/>
      <c r="L29" s="32" t="n">
        <f aca="false">5000-3500-1500</f>
        <v>0</v>
      </c>
      <c r="M29" s="21"/>
      <c r="N29" s="21"/>
      <c r="O29" s="21"/>
      <c r="P29" s="21" t="n">
        <f aca="false">SUM(Q29:U29)</f>
        <v>335000</v>
      </c>
      <c r="Q29" s="21" t="n">
        <v>300000</v>
      </c>
      <c r="R29" s="32" t="n">
        <v>35000</v>
      </c>
      <c r="S29" s="32"/>
      <c r="T29" s="21"/>
      <c r="U29" s="21"/>
      <c r="V29" s="21" t="n">
        <f aca="false">SUM(W29:AA29)</f>
        <v>323100</v>
      </c>
      <c r="W29" s="21" t="n">
        <v>323100</v>
      </c>
      <c r="X29" s="21"/>
      <c r="Y29" s="21"/>
      <c r="Z29" s="21"/>
      <c r="AA29" s="21"/>
      <c r="AB29" s="21" t="n">
        <f aca="false">SUM(AC29:AF29)</f>
        <v>0</v>
      </c>
      <c r="AC29" s="21"/>
      <c r="AD29" s="21"/>
      <c r="AE29" s="21"/>
      <c r="AF29" s="21"/>
      <c r="AG29" s="20" t="n">
        <f aca="false">SUM(AH29:AK29)</f>
        <v>0</v>
      </c>
      <c r="AH29" s="21"/>
      <c r="AI29" s="21"/>
      <c r="AJ29" s="21"/>
      <c r="AK29" s="21"/>
      <c r="AL29" s="22" t="s">
        <v>179</v>
      </c>
      <c r="AM29" s="22" t="s">
        <v>180</v>
      </c>
      <c r="AN29" s="22" t="s">
        <v>25</v>
      </c>
      <c r="AO29" s="22" t="s">
        <v>48</v>
      </c>
      <c r="AP29" s="22" t="s">
        <v>181</v>
      </c>
      <c r="AQ29" s="22" t="s">
        <v>50</v>
      </c>
      <c r="AR29" s="22" t="s">
        <v>182</v>
      </c>
      <c r="AS29" s="22" t="s">
        <v>41</v>
      </c>
      <c r="AT29" s="18" t="s">
        <v>50</v>
      </c>
      <c r="AU29" s="30" t="s">
        <v>183</v>
      </c>
      <c r="AV29" s="22" t="s">
        <v>53</v>
      </c>
      <c r="AW29" s="22" t="s">
        <v>90</v>
      </c>
      <c r="AX29" s="33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customFormat="false" ht="135.75" hidden="false" customHeight="true" outlineLevel="0" collapsed="false">
      <c r="A30" s="17" t="s">
        <v>184</v>
      </c>
      <c r="B30" s="26" t="s">
        <v>185</v>
      </c>
      <c r="C30" s="14" t="s">
        <v>186</v>
      </c>
      <c r="D30" s="14" t="s">
        <v>187</v>
      </c>
      <c r="E30" s="14" t="n">
        <v>1102</v>
      </c>
      <c r="F30" s="14" t="s">
        <v>188</v>
      </c>
      <c r="G30" s="26" t="s">
        <v>189</v>
      </c>
      <c r="H30" s="14" t="s">
        <v>117</v>
      </c>
      <c r="I30" s="20" t="n">
        <f aca="false">J30+P30+V30+AB30+AG30</f>
        <v>590000</v>
      </c>
      <c r="J30" s="20" t="n">
        <f aca="false">SUM(K30:O30)</f>
        <v>0</v>
      </c>
      <c r="K30" s="25"/>
      <c r="L30" s="25"/>
      <c r="M30" s="25"/>
      <c r="N30" s="25"/>
      <c r="O30" s="25"/>
      <c r="P30" s="21" t="n">
        <f aca="false">SUM(Q30:U30)</f>
        <v>240000</v>
      </c>
      <c r="Q30" s="25"/>
      <c r="R30" s="25" t="n">
        <f aca="false">300000-40750-19250</f>
        <v>240000</v>
      </c>
      <c r="S30" s="25"/>
      <c r="T30" s="25"/>
      <c r="U30" s="25"/>
      <c r="V30" s="21" t="n">
        <f aca="false">SUM(W30:AA30)</f>
        <v>350000</v>
      </c>
      <c r="W30" s="25"/>
      <c r="X30" s="25" t="n">
        <v>350000</v>
      </c>
      <c r="Y30" s="25"/>
      <c r="Z30" s="25"/>
      <c r="AA30" s="25"/>
      <c r="AB30" s="21" t="n">
        <f aca="false">SUM(AC30:AF30)</f>
        <v>0</v>
      </c>
      <c r="AC30" s="25"/>
      <c r="AD30" s="25"/>
      <c r="AE30" s="25"/>
      <c r="AF30" s="25"/>
      <c r="AG30" s="20" t="n">
        <f aca="false">SUM(AH30:AK30)</f>
        <v>0</v>
      </c>
      <c r="AH30" s="25"/>
      <c r="AI30" s="25"/>
      <c r="AJ30" s="25"/>
      <c r="AK30" s="25"/>
      <c r="AL30" s="14" t="s">
        <v>190</v>
      </c>
      <c r="AM30" s="14" t="s">
        <v>27</v>
      </c>
      <c r="AN30" s="14" t="s">
        <v>26</v>
      </c>
      <c r="AO30" s="15" t="s">
        <v>191</v>
      </c>
      <c r="AP30" s="14" t="s">
        <v>192</v>
      </c>
      <c r="AQ30" s="14" t="s">
        <v>193</v>
      </c>
      <c r="AR30" s="14" t="s">
        <v>194</v>
      </c>
      <c r="AS30" s="14" t="s">
        <v>193</v>
      </c>
      <c r="AT30" s="14" t="s">
        <v>193</v>
      </c>
      <c r="AU30" s="25"/>
      <c r="AV30" s="18" t="s">
        <v>53</v>
      </c>
      <c r="AW30" s="14" t="s">
        <v>195</v>
      </c>
      <c r="AX30" s="14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customFormat="false" ht="135.75" hidden="false" customHeight="true" outlineLevel="0" collapsed="false">
      <c r="A31" s="17" t="s">
        <v>196</v>
      </c>
      <c r="B31" s="26" t="s">
        <v>185</v>
      </c>
      <c r="C31" s="26" t="s">
        <v>186</v>
      </c>
      <c r="D31" s="26" t="s">
        <v>197</v>
      </c>
      <c r="E31" s="26" t="n">
        <v>1102</v>
      </c>
      <c r="F31" s="26" t="s">
        <v>198</v>
      </c>
      <c r="G31" s="26" t="s">
        <v>199</v>
      </c>
      <c r="H31" s="26" t="s">
        <v>200</v>
      </c>
      <c r="I31" s="27" t="n">
        <f aca="false">J31+V31+P31</f>
        <v>20000</v>
      </c>
      <c r="J31" s="20" t="n">
        <f aca="false">SUM(K31:O31)</f>
        <v>0</v>
      </c>
      <c r="K31" s="27"/>
      <c r="L31" s="27"/>
      <c r="M31" s="27"/>
      <c r="N31" s="27"/>
      <c r="O31" s="27"/>
      <c r="P31" s="21" t="n">
        <f aca="false">SUM(Q31:U31)</f>
        <v>20000</v>
      </c>
      <c r="Q31" s="27"/>
      <c r="R31" s="27" t="n">
        <f aca="false">40750-20750</f>
        <v>20000</v>
      </c>
      <c r="S31" s="27"/>
      <c r="T31" s="27"/>
      <c r="U31" s="27"/>
      <c r="V31" s="21" t="n">
        <f aca="false">SUM(W31:AA31)</f>
        <v>0</v>
      </c>
      <c r="W31" s="27"/>
      <c r="X31" s="27"/>
      <c r="Y31" s="27"/>
      <c r="Z31" s="27"/>
      <c r="AA31" s="27"/>
      <c r="AB31" s="21" t="n">
        <f aca="false">SUM(AC31:AF31)</f>
        <v>0</v>
      </c>
      <c r="AC31" s="27"/>
      <c r="AD31" s="27"/>
      <c r="AE31" s="27"/>
      <c r="AF31" s="27"/>
      <c r="AG31" s="20" t="n">
        <f aca="false">SUM(AH31:AK31)</f>
        <v>0</v>
      </c>
      <c r="AH31" s="27"/>
      <c r="AI31" s="27"/>
      <c r="AJ31" s="27"/>
      <c r="AK31" s="27"/>
      <c r="AL31" s="26" t="s">
        <v>190</v>
      </c>
      <c r="AM31" s="26" t="s">
        <v>27</v>
      </c>
      <c r="AN31" s="26" t="s">
        <v>26</v>
      </c>
      <c r="AO31" s="26" t="s">
        <v>201</v>
      </c>
      <c r="AP31" s="29" t="s">
        <v>202</v>
      </c>
      <c r="AQ31" s="26" t="s">
        <v>193</v>
      </c>
      <c r="AR31" s="26" t="s">
        <v>203</v>
      </c>
      <c r="AS31" s="26" t="s">
        <v>204</v>
      </c>
      <c r="AT31" s="26" t="s">
        <v>204</v>
      </c>
      <c r="AU31" s="26"/>
      <c r="AV31" s="26" t="s">
        <v>130</v>
      </c>
      <c r="AW31" s="26" t="s">
        <v>90</v>
      </c>
      <c r="AX31" s="26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customFormat="false" ht="135.75" hidden="false" customHeight="true" outlineLevel="0" collapsed="false">
      <c r="A32" s="17" t="s">
        <v>205</v>
      </c>
      <c r="B32" s="26" t="s">
        <v>185</v>
      </c>
      <c r="C32" s="26" t="s">
        <v>186</v>
      </c>
      <c r="D32" s="26" t="s">
        <v>197</v>
      </c>
      <c r="E32" s="26" t="n">
        <v>1103</v>
      </c>
      <c r="F32" s="26" t="s">
        <v>206</v>
      </c>
      <c r="G32" s="26" t="s">
        <v>207</v>
      </c>
      <c r="H32" s="26" t="s">
        <v>117</v>
      </c>
      <c r="I32" s="27" t="n">
        <v>265957.44681</v>
      </c>
      <c r="J32" s="20" t="n">
        <f aca="false">SUM(K32:O32)</f>
        <v>0</v>
      </c>
      <c r="K32" s="27"/>
      <c r="L32" s="27"/>
      <c r="M32" s="27"/>
      <c r="N32" s="27"/>
      <c r="O32" s="27"/>
      <c r="P32" s="21" t="n">
        <f aca="false">SUM(Q32:U32)</f>
        <v>0</v>
      </c>
      <c r="Q32" s="27"/>
      <c r="R32" s="27"/>
      <c r="S32" s="27"/>
      <c r="T32" s="27"/>
      <c r="U32" s="27"/>
      <c r="V32" s="27" t="n">
        <f aca="false">SUM(W32+X32)</f>
        <v>265957.44681</v>
      </c>
      <c r="W32" s="27" t="n">
        <v>250000</v>
      </c>
      <c r="X32" s="27" t="n">
        <v>15957.44681</v>
      </c>
      <c r="Y32" s="27"/>
      <c r="Z32" s="27"/>
      <c r="AA32" s="27"/>
      <c r="AB32" s="21" t="n">
        <f aca="false">SUM(AC32:AF32)</f>
        <v>0</v>
      </c>
      <c r="AC32" s="27"/>
      <c r="AD32" s="27"/>
      <c r="AE32" s="27"/>
      <c r="AF32" s="27"/>
      <c r="AG32" s="20" t="n">
        <f aca="false">SUM(AH32:AK32)</f>
        <v>0</v>
      </c>
      <c r="AH32" s="27"/>
      <c r="AI32" s="27"/>
      <c r="AJ32" s="27"/>
      <c r="AK32" s="27"/>
      <c r="AL32" s="26" t="s">
        <v>190</v>
      </c>
      <c r="AM32" s="26" t="s">
        <v>28</v>
      </c>
      <c r="AN32" s="26" t="s">
        <v>208</v>
      </c>
      <c r="AO32" s="26" t="s">
        <v>119</v>
      </c>
      <c r="AP32" s="29" t="s">
        <v>209</v>
      </c>
      <c r="AQ32" s="29" t="s">
        <v>210</v>
      </c>
      <c r="AR32" s="29" t="s">
        <v>194</v>
      </c>
      <c r="AS32" s="29" t="s">
        <v>210</v>
      </c>
      <c r="AT32" s="29" t="s">
        <v>210</v>
      </c>
      <c r="AU32" s="34" t="s">
        <v>211</v>
      </c>
      <c r="AV32" s="26" t="s">
        <v>130</v>
      </c>
      <c r="AW32" s="26" t="s">
        <v>212</v>
      </c>
      <c r="AX32" s="26" t="s">
        <v>213</v>
      </c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customFormat="false" ht="135.75" hidden="false" customHeight="true" outlineLevel="0" collapsed="false">
      <c r="A33" s="17" t="s">
        <v>214</v>
      </c>
      <c r="B33" s="26" t="s">
        <v>185</v>
      </c>
      <c r="C33" s="26" t="s">
        <v>186</v>
      </c>
      <c r="D33" s="26" t="s">
        <v>197</v>
      </c>
      <c r="E33" s="26" t="n">
        <v>1102</v>
      </c>
      <c r="F33" s="26" t="s">
        <v>188</v>
      </c>
      <c r="G33" s="26" t="s">
        <v>215</v>
      </c>
      <c r="H33" s="26" t="s">
        <v>117</v>
      </c>
      <c r="I33" s="27" t="n">
        <v>265958.44681</v>
      </c>
      <c r="J33" s="20" t="n">
        <f aca="false">SUM(K33:O33)</f>
        <v>0</v>
      </c>
      <c r="K33" s="27"/>
      <c r="L33" s="27"/>
      <c r="M33" s="29"/>
      <c r="N33" s="29"/>
      <c r="O33" s="29"/>
      <c r="P33" s="21" t="n">
        <f aca="false">SUM(Q33:U33)</f>
        <v>40000</v>
      </c>
      <c r="Q33" s="27"/>
      <c r="R33" s="34" t="n">
        <v>40000</v>
      </c>
      <c r="S33" s="29"/>
      <c r="T33" s="29"/>
      <c r="U33" s="29"/>
      <c r="V33" s="27" t="n">
        <f aca="false">SUM(W33+X33)</f>
        <v>0</v>
      </c>
      <c r="W33" s="29"/>
      <c r="X33" s="29"/>
      <c r="Y33" s="29"/>
      <c r="Z33" s="29"/>
      <c r="AA33" s="29"/>
      <c r="AB33" s="21" t="n">
        <f aca="false">SUM(AC33:AF33)</f>
        <v>0</v>
      </c>
      <c r="AC33" s="29"/>
      <c r="AD33" s="29"/>
      <c r="AE33" s="29"/>
      <c r="AF33" s="29"/>
      <c r="AG33" s="20" t="n">
        <f aca="false">SUM(AH33:AK33)</f>
        <v>0</v>
      </c>
      <c r="AH33" s="27"/>
      <c r="AI33" s="29"/>
      <c r="AJ33" s="29"/>
      <c r="AK33" s="29"/>
      <c r="AL33" s="26" t="s">
        <v>190</v>
      </c>
      <c r="AM33" s="29"/>
      <c r="AN33" s="26" t="n">
        <v>2026</v>
      </c>
      <c r="AO33" s="26" t="s">
        <v>119</v>
      </c>
      <c r="AP33" s="29"/>
      <c r="AQ33" s="35" t="s">
        <v>216</v>
      </c>
      <c r="AR33" s="26" t="s">
        <v>194</v>
      </c>
      <c r="AS33" s="35" t="s">
        <v>216</v>
      </c>
      <c r="AT33" s="35" t="s">
        <v>216</v>
      </c>
      <c r="AU33" s="29"/>
      <c r="AV33" s="36" t="s">
        <v>130</v>
      </c>
      <c r="AW33" s="26" t="s">
        <v>90</v>
      </c>
      <c r="AX33" s="29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customFormat="false" ht="126" hidden="false" customHeight="true" outlineLevel="0" collapsed="false">
      <c r="A34" s="17" t="s">
        <v>217</v>
      </c>
      <c r="B34" s="18" t="s">
        <v>218</v>
      </c>
      <c r="C34" s="18" t="s">
        <v>219</v>
      </c>
      <c r="D34" s="22" t="s">
        <v>220</v>
      </c>
      <c r="E34" s="26" t="s">
        <v>221</v>
      </c>
      <c r="F34" s="26" t="s">
        <v>222</v>
      </c>
      <c r="G34" s="26" t="s">
        <v>223</v>
      </c>
      <c r="H34" s="26" t="s">
        <v>224</v>
      </c>
      <c r="I34" s="20" t="n">
        <f aca="false">J34+P34+V34+AB34+AG34</f>
        <v>810456.2</v>
      </c>
      <c r="J34" s="20" t="n">
        <f aca="false">SUM(K34:O34)</f>
        <v>810456.2</v>
      </c>
      <c r="K34" s="37" t="n">
        <v>802351.6</v>
      </c>
      <c r="L34" s="37" t="n">
        <v>8104.6</v>
      </c>
      <c r="M34" s="37"/>
      <c r="N34" s="37"/>
      <c r="O34" s="37"/>
      <c r="P34" s="21" t="n">
        <f aca="false">SUM(Q34:U34)</f>
        <v>0</v>
      </c>
      <c r="Q34" s="21"/>
      <c r="R34" s="21"/>
      <c r="S34" s="21"/>
      <c r="T34" s="21"/>
      <c r="U34" s="21"/>
      <c r="V34" s="21" t="n">
        <f aca="false">SUM(W34:AA34)</f>
        <v>0</v>
      </c>
      <c r="W34" s="21"/>
      <c r="X34" s="21"/>
      <c r="Y34" s="21"/>
      <c r="Z34" s="21"/>
      <c r="AA34" s="21"/>
      <c r="AB34" s="21" t="n">
        <f aca="false">SUM(AC34:AF34)</f>
        <v>0</v>
      </c>
      <c r="AC34" s="21"/>
      <c r="AD34" s="21"/>
      <c r="AE34" s="21"/>
      <c r="AF34" s="21"/>
      <c r="AG34" s="20" t="n">
        <f aca="false">SUM(AH34:AK34)</f>
        <v>0</v>
      </c>
      <c r="AH34" s="21"/>
      <c r="AI34" s="21"/>
      <c r="AJ34" s="21"/>
      <c r="AK34" s="21"/>
      <c r="AL34" s="22" t="s">
        <v>225</v>
      </c>
      <c r="AM34" s="29" t="s">
        <v>26</v>
      </c>
      <c r="AN34" s="29"/>
      <c r="AO34" s="26" t="s">
        <v>226</v>
      </c>
      <c r="AP34" s="29" t="s">
        <v>227</v>
      </c>
      <c r="AQ34" s="26" t="s">
        <v>228</v>
      </c>
      <c r="AR34" s="26" t="s">
        <v>219</v>
      </c>
      <c r="AS34" s="26" t="s">
        <v>228</v>
      </c>
      <c r="AT34" s="26" t="s">
        <v>228</v>
      </c>
      <c r="AU34" s="35" t="s">
        <v>229</v>
      </c>
      <c r="AV34" s="26" t="s">
        <v>230</v>
      </c>
      <c r="AW34" s="38" t="s">
        <v>54</v>
      </c>
      <c r="AX34" s="39" t="s">
        <v>231</v>
      </c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customFormat="false" ht="113.25" hidden="false" customHeight="true" outlineLevel="0" collapsed="false">
      <c r="A35" s="17" t="s">
        <v>232</v>
      </c>
      <c r="B35" s="18" t="s">
        <v>233</v>
      </c>
      <c r="C35" s="18" t="s">
        <v>41</v>
      </c>
      <c r="D35" s="18" t="s">
        <v>234</v>
      </c>
      <c r="E35" s="19" t="s">
        <v>235</v>
      </c>
      <c r="F35" s="18" t="s">
        <v>236</v>
      </c>
      <c r="G35" s="18" t="s">
        <v>237</v>
      </c>
      <c r="H35" s="18" t="s">
        <v>97</v>
      </c>
      <c r="I35" s="20" t="n">
        <f aca="false">J35+P35+V35+AB35+AG35</f>
        <v>28753.41683</v>
      </c>
      <c r="J35" s="20" t="n">
        <f aca="false">SUM(K35:O35)</f>
        <v>19989.85514</v>
      </c>
      <c r="K35" s="21"/>
      <c r="L35" s="21" t="n">
        <v>19969.86528</v>
      </c>
      <c r="M35" s="21" t="n">
        <f aca="false">27.09253-7.10267</f>
        <v>19.98986</v>
      </c>
      <c r="N35" s="21"/>
      <c r="O35" s="21"/>
      <c r="P35" s="21" t="n">
        <f aca="false">SUM(Q35:U35)</f>
        <v>8763.56169</v>
      </c>
      <c r="Q35" s="21"/>
      <c r="R35" s="21"/>
      <c r="S35" s="21" t="n">
        <f aca="false">0+8.76356</f>
        <v>8.76356</v>
      </c>
      <c r="T35" s="21" t="n">
        <f aca="false">0+8754.79813</f>
        <v>8754.79813</v>
      </c>
      <c r="U35" s="21"/>
      <c r="V35" s="21" t="n">
        <f aca="false">SUM(W35:AA35)</f>
        <v>0</v>
      </c>
      <c r="W35" s="21"/>
      <c r="X35" s="21"/>
      <c r="Y35" s="21"/>
      <c r="Z35" s="21"/>
      <c r="AA35" s="21"/>
      <c r="AB35" s="21" t="n">
        <f aca="false">SUM(AC35:AF35)</f>
        <v>0</v>
      </c>
      <c r="AC35" s="21"/>
      <c r="AD35" s="21"/>
      <c r="AE35" s="21"/>
      <c r="AF35" s="21"/>
      <c r="AG35" s="20" t="n">
        <f aca="false">SUM(AH35:AK35)</f>
        <v>0</v>
      </c>
      <c r="AH35" s="21"/>
      <c r="AI35" s="21"/>
      <c r="AJ35" s="21"/>
      <c r="AK35" s="21"/>
      <c r="AL35" s="18" t="s">
        <v>238</v>
      </c>
      <c r="AM35" s="18" t="s">
        <v>26</v>
      </c>
      <c r="AN35" s="18"/>
      <c r="AO35" s="18" t="s">
        <v>155</v>
      </c>
      <c r="AP35" s="18"/>
      <c r="AQ35" s="18" t="s">
        <v>97</v>
      </c>
      <c r="AR35" s="18" t="s">
        <v>41</v>
      </c>
      <c r="AS35" s="18" t="s">
        <v>239</v>
      </c>
      <c r="AT35" s="18" t="s">
        <v>239</v>
      </c>
      <c r="AU35" s="18"/>
      <c r="AV35" s="18" t="s">
        <v>159</v>
      </c>
      <c r="AW35" s="18" t="s">
        <v>165</v>
      </c>
      <c r="AX35" s="18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customFormat="false" ht="102" hidden="false" customHeight="true" outlineLevel="0" collapsed="false">
      <c r="A36" s="17" t="s">
        <v>240</v>
      </c>
      <c r="B36" s="18" t="s">
        <v>233</v>
      </c>
      <c r="C36" s="18" t="s">
        <v>41</v>
      </c>
      <c r="D36" s="18" t="s">
        <v>234</v>
      </c>
      <c r="E36" s="19" t="s">
        <v>235</v>
      </c>
      <c r="F36" s="18" t="s">
        <v>236</v>
      </c>
      <c r="G36" s="18" t="s">
        <v>237</v>
      </c>
      <c r="H36" s="18" t="s">
        <v>241</v>
      </c>
      <c r="I36" s="20" t="n">
        <f aca="false">J36+P36+V36+AB36+AG36</f>
        <v>109603.64017</v>
      </c>
      <c r="J36" s="20" t="n">
        <f aca="false">SUM(K36:O36)</f>
        <v>33964.38342</v>
      </c>
      <c r="K36" s="21"/>
      <c r="L36" s="21" t="n">
        <v>33930.41904</v>
      </c>
      <c r="M36" s="21" t="n">
        <f aca="false">101.92149-98.52767+30.57056</f>
        <v>33.96438</v>
      </c>
      <c r="N36" s="21"/>
      <c r="O36" s="21"/>
      <c r="P36" s="21" t="n">
        <f aca="false">SUM(Q36:U36)</f>
        <v>75639.25675</v>
      </c>
      <c r="Q36" s="21"/>
      <c r="R36" s="21"/>
      <c r="S36" s="21" t="n">
        <f aca="false">0+75.63925</f>
        <v>75.63925</v>
      </c>
      <c r="T36" s="21" t="n">
        <f aca="false">0+75563.6175</f>
        <v>75563.6175</v>
      </c>
      <c r="U36" s="21"/>
      <c r="V36" s="21" t="n">
        <f aca="false">SUM(W36:AA36)</f>
        <v>0</v>
      </c>
      <c r="W36" s="21"/>
      <c r="X36" s="21"/>
      <c r="Y36" s="21"/>
      <c r="Z36" s="21"/>
      <c r="AA36" s="21"/>
      <c r="AB36" s="21" t="n">
        <f aca="false">SUM(AC36:AF36)</f>
        <v>0</v>
      </c>
      <c r="AC36" s="21"/>
      <c r="AD36" s="21"/>
      <c r="AE36" s="21"/>
      <c r="AF36" s="21"/>
      <c r="AG36" s="20" t="n">
        <f aca="false">SUM(AH36:AK36)</f>
        <v>0</v>
      </c>
      <c r="AH36" s="21"/>
      <c r="AI36" s="21"/>
      <c r="AJ36" s="21"/>
      <c r="AK36" s="21"/>
      <c r="AL36" s="18" t="s">
        <v>238</v>
      </c>
      <c r="AM36" s="18" t="s">
        <v>26</v>
      </c>
      <c r="AN36" s="18"/>
      <c r="AO36" s="18" t="s">
        <v>155</v>
      </c>
      <c r="AP36" s="18"/>
      <c r="AQ36" s="18" t="s">
        <v>242</v>
      </c>
      <c r="AR36" s="18" t="s">
        <v>41</v>
      </c>
      <c r="AS36" s="18" t="s">
        <v>243</v>
      </c>
      <c r="AT36" s="18" t="s">
        <v>243</v>
      </c>
      <c r="AU36" s="18"/>
      <c r="AV36" s="18" t="s">
        <v>159</v>
      </c>
      <c r="AW36" s="18" t="s">
        <v>165</v>
      </c>
      <c r="AX36" s="18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customFormat="false" ht="99" hidden="false" customHeight="true" outlineLevel="0" collapsed="false">
      <c r="A37" s="17" t="s">
        <v>244</v>
      </c>
      <c r="B37" s="18" t="s">
        <v>233</v>
      </c>
      <c r="C37" s="18" t="s">
        <v>41</v>
      </c>
      <c r="D37" s="18" t="s">
        <v>234</v>
      </c>
      <c r="E37" s="19" t="s">
        <v>235</v>
      </c>
      <c r="F37" s="18" t="s">
        <v>236</v>
      </c>
      <c r="G37" s="18" t="s">
        <v>237</v>
      </c>
      <c r="H37" s="18" t="s">
        <v>117</v>
      </c>
      <c r="I37" s="20" t="n">
        <f aca="false">J37+P37+V37+AB37+AG37</f>
        <v>3403889.05409</v>
      </c>
      <c r="J37" s="20" t="n">
        <f aca="false">SUM(K37:O37)</f>
        <v>581149.13656</v>
      </c>
      <c r="K37" s="21"/>
      <c r="L37" s="21" t="n">
        <f aca="false">613221.72382-7084.376-100000-21490.14739-118687.73</f>
        <v>365959.47043</v>
      </c>
      <c r="M37" s="21" t="n">
        <f aca="false">1377.11276-7.09146-884.88896-118.80654+214.82333</f>
        <v>581.14913</v>
      </c>
      <c r="N37" s="21" t="n">
        <f aca="false">0+214608.517</f>
        <v>214608.517</v>
      </c>
      <c r="O37" s="21"/>
      <c r="P37" s="21" t="n">
        <f aca="false">SUM(Q37:U37)</f>
        <v>459623.6194</v>
      </c>
      <c r="Q37" s="21"/>
      <c r="R37" s="21" t="n">
        <f aca="false">534591.58091-50865.87-383725.71091</f>
        <v>100000</v>
      </c>
      <c r="S37" s="21" t="n">
        <f aca="false">1875.26405-50.91678-1364.72365</f>
        <v>459.62362</v>
      </c>
      <c r="T37" s="21" t="n">
        <f aca="false">0+359163.99578</f>
        <v>359163.99578</v>
      </c>
      <c r="U37" s="21"/>
      <c r="V37" s="21" t="n">
        <f aca="false">SUM(W37:AA37)</f>
        <v>339454.29813</v>
      </c>
      <c r="W37" s="21"/>
      <c r="X37" s="21" t="n">
        <f aca="false">590160.0536-590160.0536</f>
        <v>0</v>
      </c>
      <c r="Y37" s="21" t="n">
        <f aca="false">1940.32495-1940.32495+339.45429</f>
        <v>339.45429</v>
      </c>
      <c r="Z37" s="21" t="n">
        <f aca="false">0+339114.84384</f>
        <v>339114.84384</v>
      </c>
      <c r="AA37" s="21"/>
      <c r="AB37" s="21" t="n">
        <f aca="false">SUM(AC37:AF37)</f>
        <v>2023662</v>
      </c>
      <c r="AC37" s="21"/>
      <c r="AD37" s="21" t="n">
        <v>601447.48335</v>
      </c>
      <c r="AE37" s="21" t="n">
        <v>2023.662</v>
      </c>
      <c r="AF37" s="21" t="n">
        <v>1420190.85465</v>
      </c>
      <c r="AG37" s="20" t="n">
        <f aca="false">SUM(AH37:AK37)</f>
        <v>0</v>
      </c>
      <c r="AH37" s="21"/>
      <c r="AI37" s="21"/>
      <c r="AJ37" s="21"/>
      <c r="AK37" s="21"/>
      <c r="AL37" s="18" t="s">
        <v>238</v>
      </c>
      <c r="AM37" s="18" t="s">
        <v>28</v>
      </c>
      <c r="AN37" s="18"/>
      <c r="AO37" s="18" t="s">
        <v>155</v>
      </c>
      <c r="AP37" s="18"/>
      <c r="AQ37" s="18" t="s">
        <v>117</v>
      </c>
      <c r="AR37" s="18" t="s">
        <v>41</v>
      </c>
      <c r="AS37" s="18" t="s">
        <v>157</v>
      </c>
      <c r="AT37" s="18" t="s">
        <v>157</v>
      </c>
      <c r="AU37" s="18"/>
      <c r="AV37" s="18" t="s">
        <v>159</v>
      </c>
      <c r="AW37" s="18" t="s">
        <v>165</v>
      </c>
      <c r="AX37" s="18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customFormat="false" ht="89.25" hidden="false" customHeight="true" outlineLevel="0" collapsed="false">
      <c r="A38" s="17" t="s">
        <v>245</v>
      </c>
      <c r="B38" s="18" t="s">
        <v>233</v>
      </c>
      <c r="C38" s="18" t="s">
        <v>41</v>
      </c>
      <c r="D38" s="18" t="s">
        <v>234</v>
      </c>
      <c r="E38" s="19" t="s">
        <v>235</v>
      </c>
      <c r="F38" s="18" t="s">
        <v>236</v>
      </c>
      <c r="G38" s="18" t="s">
        <v>237</v>
      </c>
      <c r="H38" s="18" t="s">
        <v>246</v>
      </c>
      <c r="I38" s="20" t="n">
        <f aca="false">J38+P38+V38+AB38+AG38</f>
        <v>438241.78519</v>
      </c>
      <c r="J38" s="20" t="n">
        <f aca="false">SUM(K38:O38)</f>
        <v>153868.97984</v>
      </c>
      <c r="K38" s="21"/>
      <c r="L38" s="21" t="n">
        <f aca="false">6370.10028+7839.26246+118687.73</f>
        <v>132897.09274</v>
      </c>
      <c r="M38" s="40" t="n">
        <f aca="false">6.37648+12.35096+118.80653+16.335</f>
        <v>153.86897</v>
      </c>
      <c r="N38" s="21" t="n">
        <f aca="false">0+4499.35313+16318.665</f>
        <v>20818.01813</v>
      </c>
      <c r="O38" s="21"/>
      <c r="P38" s="21" t="n">
        <f aca="false">SUM(Q38:U38)</f>
        <v>135825.18449</v>
      </c>
      <c r="Q38" s="21"/>
      <c r="R38" s="21" t="n">
        <f aca="false">49758.58931+50865.87</f>
        <v>100624.45931</v>
      </c>
      <c r="S38" s="40" t="n">
        <f aca="false">49.8084+50.91678+35.1</f>
        <v>135.82518</v>
      </c>
      <c r="T38" s="21" t="n">
        <f aca="false">0+35064.9</f>
        <v>35064.9</v>
      </c>
      <c r="U38" s="21"/>
      <c r="V38" s="21" t="n">
        <f aca="false">SUM(W38:AA38)</f>
        <v>148547.62086</v>
      </c>
      <c r="W38" s="21"/>
      <c r="X38" s="21"/>
      <c r="Y38" s="21" t="n">
        <f aca="false">0+148.54762</f>
        <v>148.54762</v>
      </c>
      <c r="Z38" s="21" t="n">
        <f aca="false">0+148399.07324</f>
        <v>148399.07324</v>
      </c>
      <c r="AA38" s="21"/>
      <c r="AB38" s="21" t="n">
        <f aca="false">SUM(AC38:AF38)</f>
        <v>0</v>
      </c>
      <c r="AC38" s="21"/>
      <c r="AD38" s="21"/>
      <c r="AE38" s="21"/>
      <c r="AF38" s="21"/>
      <c r="AG38" s="20" t="n">
        <f aca="false">SUM(AH38:AK38)</f>
        <v>0</v>
      </c>
      <c r="AH38" s="21"/>
      <c r="AI38" s="21"/>
      <c r="AJ38" s="21"/>
      <c r="AK38" s="21"/>
      <c r="AL38" s="18" t="s">
        <v>238</v>
      </c>
      <c r="AM38" s="18" t="s">
        <v>28</v>
      </c>
      <c r="AN38" s="18"/>
      <c r="AO38" s="18" t="s">
        <v>155</v>
      </c>
      <c r="AP38" s="18"/>
      <c r="AQ38" s="18" t="s">
        <v>246</v>
      </c>
      <c r="AR38" s="18" t="s">
        <v>41</v>
      </c>
      <c r="AS38" s="18" t="s">
        <v>247</v>
      </c>
      <c r="AT38" s="18" t="s">
        <v>248</v>
      </c>
      <c r="AU38" s="18"/>
      <c r="AV38" s="18" t="s">
        <v>159</v>
      </c>
      <c r="AW38" s="18" t="s">
        <v>165</v>
      </c>
      <c r="AX38" s="18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customFormat="false" ht="89.25" hidden="false" customHeight="true" outlineLevel="0" collapsed="false">
      <c r="A39" s="17" t="s">
        <v>249</v>
      </c>
      <c r="B39" s="18" t="s">
        <v>233</v>
      </c>
      <c r="C39" s="18" t="s">
        <v>41</v>
      </c>
      <c r="D39" s="18" t="s">
        <v>234</v>
      </c>
      <c r="E39" s="19" t="s">
        <v>235</v>
      </c>
      <c r="F39" s="18" t="s">
        <v>236</v>
      </c>
      <c r="G39" s="18" t="s">
        <v>237</v>
      </c>
      <c r="H39" s="18" t="s">
        <v>250</v>
      </c>
      <c r="I39" s="20" t="n">
        <f aca="false">J39+P39+V39+AB39+AG39</f>
        <v>3990.99999</v>
      </c>
      <c r="J39" s="20" t="n">
        <f aca="false">SUM(K39:O39)</f>
        <v>3990.99999</v>
      </c>
      <c r="K39" s="21"/>
      <c r="L39" s="21"/>
      <c r="M39" s="40" t="n">
        <v>3.99099</v>
      </c>
      <c r="N39" s="21" t="n">
        <v>3987.009</v>
      </c>
      <c r="O39" s="21"/>
      <c r="P39" s="21" t="n">
        <f aca="false">SUM(Q39:U39)</f>
        <v>0</v>
      </c>
      <c r="Q39" s="21"/>
      <c r="R39" s="21"/>
      <c r="S39" s="40"/>
      <c r="T39" s="21"/>
      <c r="U39" s="21"/>
      <c r="V39" s="21" t="n">
        <f aca="false">SUM(W39:AA39)</f>
        <v>0</v>
      </c>
      <c r="W39" s="21"/>
      <c r="X39" s="21"/>
      <c r="Y39" s="21"/>
      <c r="Z39" s="21"/>
      <c r="AA39" s="21"/>
      <c r="AB39" s="21" t="n">
        <f aca="false">SUM(AC39:AF39)</f>
        <v>0</v>
      </c>
      <c r="AC39" s="21"/>
      <c r="AD39" s="21"/>
      <c r="AE39" s="21"/>
      <c r="AF39" s="21"/>
      <c r="AG39" s="20" t="n">
        <f aca="false">SUM(AH39:AK39)</f>
        <v>0</v>
      </c>
      <c r="AH39" s="21"/>
      <c r="AI39" s="21"/>
      <c r="AJ39" s="21"/>
      <c r="AK39" s="21"/>
      <c r="AL39" s="18" t="s">
        <v>238</v>
      </c>
      <c r="AM39" s="18" t="s">
        <v>25</v>
      </c>
      <c r="AN39" s="18"/>
      <c r="AO39" s="18" t="s">
        <v>155</v>
      </c>
      <c r="AP39" s="18"/>
      <c r="AQ39" s="18" t="s">
        <v>250</v>
      </c>
      <c r="AR39" s="18" t="s">
        <v>41</v>
      </c>
      <c r="AS39" s="18" t="s">
        <v>251</v>
      </c>
      <c r="AT39" s="18" t="s">
        <v>251</v>
      </c>
      <c r="AU39" s="18"/>
      <c r="AV39" s="18" t="s">
        <v>159</v>
      </c>
      <c r="AW39" s="18" t="s">
        <v>165</v>
      </c>
      <c r="AX39" s="18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customFormat="false" ht="89.25" hidden="false" customHeight="true" outlineLevel="0" collapsed="false">
      <c r="A40" s="17" t="s">
        <v>252</v>
      </c>
      <c r="B40" s="18" t="s">
        <v>233</v>
      </c>
      <c r="C40" s="18" t="s">
        <v>41</v>
      </c>
      <c r="D40" s="18" t="s">
        <v>234</v>
      </c>
      <c r="E40" s="19" t="s">
        <v>235</v>
      </c>
      <c r="F40" s="18" t="s">
        <v>236</v>
      </c>
      <c r="G40" s="18" t="s">
        <v>237</v>
      </c>
      <c r="H40" s="18" t="s">
        <v>253</v>
      </c>
      <c r="I40" s="20" t="n">
        <f aca="false">J40+P40+V40+AB40+AG40</f>
        <v>44451.53995</v>
      </c>
      <c r="J40" s="20" t="n">
        <f aca="false">SUM(K40:O40)</f>
        <v>44451.53995</v>
      </c>
      <c r="K40" s="21"/>
      <c r="L40" s="21" t="n">
        <v>9852.69588</v>
      </c>
      <c r="M40" s="40" t="n">
        <f aca="false">9.86255+34.58898</f>
        <v>44.45153</v>
      </c>
      <c r="N40" s="21" t="n">
        <f aca="false">0+34554.39254</f>
        <v>34554.39254</v>
      </c>
      <c r="O40" s="21"/>
      <c r="P40" s="21" t="n">
        <f aca="false">SUM(Q40:U40)</f>
        <v>0</v>
      </c>
      <c r="Q40" s="21"/>
      <c r="R40" s="21"/>
      <c r="S40" s="40"/>
      <c r="T40" s="21"/>
      <c r="U40" s="21"/>
      <c r="V40" s="21" t="n">
        <f aca="false">SUM(W40:AA40)</f>
        <v>0</v>
      </c>
      <c r="W40" s="21"/>
      <c r="X40" s="21"/>
      <c r="Y40" s="21"/>
      <c r="Z40" s="21"/>
      <c r="AA40" s="21"/>
      <c r="AB40" s="21" t="n">
        <f aca="false">SUM(AC40:AF40)</f>
        <v>0</v>
      </c>
      <c r="AC40" s="21"/>
      <c r="AD40" s="21"/>
      <c r="AE40" s="21"/>
      <c r="AF40" s="21"/>
      <c r="AG40" s="20" t="n">
        <f aca="false">SUM(AH40:AK40)</f>
        <v>0</v>
      </c>
      <c r="AH40" s="21"/>
      <c r="AI40" s="21"/>
      <c r="AJ40" s="21"/>
      <c r="AK40" s="21"/>
      <c r="AL40" s="18" t="s">
        <v>238</v>
      </c>
      <c r="AM40" s="18" t="s">
        <v>25</v>
      </c>
      <c r="AN40" s="18"/>
      <c r="AO40" s="18" t="s">
        <v>155</v>
      </c>
      <c r="AP40" s="18"/>
      <c r="AQ40" s="18" t="s">
        <v>253</v>
      </c>
      <c r="AR40" s="18" t="s">
        <v>41</v>
      </c>
      <c r="AS40" s="18" t="s">
        <v>254</v>
      </c>
      <c r="AT40" s="18" t="s">
        <v>254</v>
      </c>
      <c r="AU40" s="18"/>
      <c r="AV40" s="18" t="s">
        <v>159</v>
      </c>
      <c r="AW40" s="18" t="s">
        <v>165</v>
      </c>
      <c r="AX40" s="18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customFormat="false" ht="89.25" hidden="false" customHeight="true" outlineLevel="0" collapsed="false">
      <c r="A41" s="17" t="s">
        <v>255</v>
      </c>
      <c r="B41" s="18" t="s">
        <v>233</v>
      </c>
      <c r="C41" s="18" t="s">
        <v>41</v>
      </c>
      <c r="D41" s="18" t="s">
        <v>234</v>
      </c>
      <c r="E41" s="19" t="s">
        <v>235</v>
      </c>
      <c r="F41" s="18" t="s">
        <v>236</v>
      </c>
      <c r="G41" s="18" t="s">
        <v>237</v>
      </c>
      <c r="H41" s="18" t="s">
        <v>256</v>
      </c>
      <c r="I41" s="20" t="n">
        <f aca="false">J41+P41+V41+AB41+AG41</f>
        <v>12560.46744</v>
      </c>
      <c r="J41" s="20" t="n">
        <f aca="false">SUM(K41:O41)</f>
        <v>7259.1523</v>
      </c>
      <c r="K41" s="21"/>
      <c r="L41" s="21" t="n">
        <v>3798.18905</v>
      </c>
      <c r="M41" s="40" t="n">
        <v>7.25915</v>
      </c>
      <c r="N41" s="21" t="n">
        <v>3453.7041</v>
      </c>
      <c r="O41" s="21"/>
      <c r="P41" s="21" t="n">
        <f aca="false">SUM(Q41:U41)</f>
        <v>0</v>
      </c>
      <c r="Q41" s="21"/>
      <c r="R41" s="21"/>
      <c r="S41" s="40"/>
      <c r="T41" s="21"/>
      <c r="U41" s="21"/>
      <c r="V41" s="21" t="n">
        <f aca="false">SUM(W41:AA41)</f>
        <v>5301.31514</v>
      </c>
      <c r="W41" s="21"/>
      <c r="X41" s="21"/>
      <c r="Y41" s="21" t="n">
        <f aca="false">0+5.30131</f>
        <v>5.30131</v>
      </c>
      <c r="Z41" s="21" t="n">
        <f aca="false">0+5296.01383</f>
        <v>5296.01383</v>
      </c>
      <c r="AA41" s="21"/>
      <c r="AB41" s="21" t="n">
        <f aca="false">SUM(AC41:AF41)</f>
        <v>0</v>
      </c>
      <c r="AC41" s="21"/>
      <c r="AD41" s="21"/>
      <c r="AE41" s="21"/>
      <c r="AF41" s="21"/>
      <c r="AG41" s="20" t="n">
        <f aca="false">SUM(AH41:AK41)</f>
        <v>0</v>
      </c>
      <c r="AH41" s="21"/>
      <c r="AI41" s="21"/>
      <c r="AJ41" s="21"/>
      <c r="AK41" s="21"/>
      <c r="AL41" s="18" t="s">
        <v>238</v>
      </c>
      <c r="AM41" s="18" t="s">
        <v>25</v>
      </c>
      <c r="AN41" s="18"/>
      <c r="AO41" s="18" t="s">
        <v>155</v>
      </c>
      <c r="AP41" s="18"/>
      <c r="AQ41" s="18" t="s">
        <v>257</v>
      </c>
      <c r="AR41" s="18" t="s">
        <v>41</v>
      </c>
      <c r="AS41" s="18" t="s">
        <v>258</v>
      </c>
      <c r="AT41" s="18" t="s">
        <v>258</v>
      </c>
      <c r="AU41" s="18"/>
      <c r="AV41" s="18" t="s">
        <v>159</v>
      </c>
      <c r="AW41" s="18" t="s">
        <v>165</v>
      </c>
      <c r="AX41" s="18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customFormat="false" ht="89.25" hidden="false" customHeight="true" outlineLevel="0" collapsed="false">
      <c r="A42" s="17" t="s">
        <v>259</v>
      </c>
      <c r="B42" s="18" t="s">
        <v>233</v>
      </c>
      <c r="C42" s="18" t="s">
        <v>41</v>
      </c>
      <c r="D42" s="18" t="s">
        <v>234</v>
      </c>
      <c r="E42" s="19" t="s">
        <v>235</v>
      </c>
      <c r="F42" s="18" t="s">
        <v>236</v>
      </c>
      <c r="G42" s="18" t="s">
        <v>237</v>
      </c>
      <c r="H42" s="18" t="s">
        <v>58</v>
      </c>
      <c r="I42" s="20" t="n">
        <f aca="false">J42+P42+V42+AB42+AG42</f>
        <v>105448.73079</v>
      </c>
      <c r="J42" s="20" t="n">
        <f aca="false">SUM(K42:O42)</f>
        <v>25269.40166</v>
      </c>
      <c r="K42" s="21"/>
      <c r="L42" s="21"/>
      <c r="M42" s="40" t="n">
        <f aca="false">3.9464+21.323</f>
        <v>25.2694</v>
      </c>
      <c r="N42" s="21" t="n">
        <f aca="false">3942.45526+21301.677</f>
        <v>25244.13226</v>
      </c>
      <c r="O42" s="21"/>
      <c r="P42" s="21" t="n">
        <f aca="false">SUM(Q42:U42)</f>
        <v>39956.49999</v>
      </c>
      <c r="Q42" s="21"/>
      <c r="R42" s="21"/>
      <c r="S42" s="40" t="n">
        <f aca="false">0+39.95649</f>
        <v>39.95649</v>
      </c>
      <c r="T42" s="21" t="n">
        <f aca="false">0+39916.5435</f>
        <v>39916.5435</v>
      </c>
      <c r="U42" s="21"/>
      <c r="V42" s="21" t="n">
        <f aca="false">SUM(W42:AA42)</f>
        <v>40222.82914</v>
      </c>
      <c r="W42" s="21"/>
      <c r="X42" s="21"/>
      <c r="Y42" s="21" t="n">
        <f aca="false">0+40.22282</f>
        <v>40.22282</v>
      </c>
      <c r="Z42" s="21" t="n">
        <f aca="false">0+40182.60632</f>
        <v>40182.60632</v>
      </c>
      <c r="AA42" s="21"/>
      <c r="AB42" s="21" t="n">
        <f aca="false">SUM(AC42:AF42)</f>
        <v>0</v>
      </c>
      <c r="AC42" s="21"/>
      <c r="AD42" s="21"/>
      <c r="AE42" s="21"/>
      <c r="AF42" s="21"/>
      <c r="AG42" s="20" t="n">
        <f aca="false">SUM(AH42:AK42)</f>
        <v>0</v>
      </c>
      <c r="AH42" s="21"/>
      <c r="AI42" s="21"/>
      <c r="AJ42" s="21"/>
      <c r="AK42" s="21"/>
      <c r="AL42" s="18" t="s">
        <v>238</v>
      </c>
      <c r="AM42" s="18" t="s">
        <v>27</v>
      </c>
      <c r="AN42" s="18"/>
      <c r="AO42" s="18" t="s">
        <v>155</v>
      </c>
      <c r="AP42" s="18"/>
      <c r="AQ42" s="18" t="s">
        <v>58</v>
      </c>
      <c r="AR42" s="18" t="s">
        <v>41</v>
      </c>
      <c r="AS42" s="18" t="s">
        <v>260</v>
      </c>
      <c r="AT42" s="18" t="s">
        <v>260</v>
      </c>
      <c r="AU42" s="18"/>
      <c r="AV42" s="18" t="s">
        <v>159</v>
      </c>
      <c r="AW42" s="18" t="s">
        <v>165</v>
      </c>
      <c r="AX42" s="18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customFormat="false" ht="89.25" hidden="false" customHeight="true" outlineLevel="0" collapsed="false">
      <c r="A43" s="17" t="s">
        <v>261</v>
      </c>
      <c r="B43" s="18" t="s">
        <v>233</v>
      </c>
      <c r="C43" s="18" t="s">
        <v>41</v>
      </c>
      <c r="D43" s="18" t="s">
        <v>234</v>
      </c>
      <c r="E43" s="19" t="s">
        <v>235</v>
      </c>
      <c r="F43" s="18" t="s">
        <v>236</v>
      </c>
      <c r="G43" s="18" t="s">
        <v>237</v>
      </c>
      <c r="H43" s="18" t="s">
        <v>262</v>
      </c>
      <c r="I43" s="20" t="n">
        <f aca="false">J43+P43+V43+AB43+AG43</f>
        <v>47816.5832942</v>
      </c>
      <c r="J43" s="20" t="n">
        <f aca="false">SUM(K43:O43)</f>
        <v>0</v>
      </c>
      <c r="K43" s="21"/>
      <c r="L43" s="21"/>
      <c r="M43" s="40"/>
      <c r="N43" s="21"/>
      <c r="O43" s="21"/>
      <c r="P43" s="21" t="n">
        <f aca="false">SUM(Q43:U43)</f>
        <v>0</v>
      </c>
      <c r="Q43" s="21"/>
      <c r="R43" s="21"/>
      <c r="S43" s="40"/>
      <c r="T43" s="21"/>
      <c r="U43" s="21"/>
      <c r="V43" s="21" t="n">
        <f aca="false">SUM(W43:AA43)</f>
        <v>47816.5832942</v>
      </c>
      <c r="W43" s="21"/>
      <c r="X43" s="21"/>
      <c r="Y43" s="21" t="n">
        <f aca="false">0+47.8165842</f>
        <v>47.8165842</v>
      </c>
      <c r="Z43" s="21" t="n">
        <f aca="false">0+47768.76671</f>
        <v>47768.76671</v>
      </c>
      <c r="AA43" s="21"/>
      <c r="AB43" s="21" t="n">
        <f aca="false">SUM(AC43:AF43)</f>
        <v>0</v>
      </c>
      <c r="AC43" s="21"/>
      <c r="AD43" s="21"/>
      <c r="AE43" s="21"/>
      <c r="AF43" s="21"/>
      <c r="AG43" s="20" t="n">
        <f aca="false">SUM(AH43:AK43)</f>
        <v>0</v>
      </c>
      <c r="AH43" s="21"/>
      <c r="AI43" s="21"/>
      <c r="AJ43" s="21"/>
      <c r="AK43" s="21"/>
      <c r="AL43" s="18" t="s">
        <v>238</v>
      </c>
      <c r="AM43" s="18" t="s">
        <v>27</v>
      </c>
      <c r="AN43" s="18"/>
      <c r="AO43" s="18" t="s">
        <v>155</v>
      </c>
      <c r="AP43" s="18"/>
      <c r="AQ43" s="18" t="s">
        <v>263</v>
      </c>
      <c r="AR43" s="18" t="s">
        <v>41</v>
      </c>
      <c r="AS43" s="18" t="s">
        <v>264</v>
      </c>
      <c r="AT43" s="18" t="s">
        <v>264</v>
      </c>
      <c r="AU43" s="18"/>
      <c r="AV43" s="18" t="s">
        <v>159</v>
      </c>
      <c r="AW43" s="18" t="s">
        <v>165</v>
      </c>
      <c r="AX43" s="18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customFormat="false" ht="89.25" hidden="false" customHeight="true" outlineLevel="0" collapsed="false">
      <c r="A44" s="17" t="s">
        <v>265</v>
      </c>
      <c r="B44" s="18" t="s">
        <v>233</v>
      </c>
      <c r="C44" s="18" t="s">
        <v>41</v>
      </c>
      <c r="D44" s="18" t="s">
        <v>234</v>
      </c>
      <c r="E44" s="19" t="s">
        <v>235</v>
      </c>
      <c r="F44" s="18" t="s">
        <v>236</v>
      </c>
      <c r="G44" s="18" t="s">
        <v>237</v>
      </c>
      <c r="H44" s="18" t="s">
        <v>266</v>
      </c>
      <c r="I44" s="20" t="n">
        <f aca="false">J44+P44+V44+AB44+AG44</f>
        <v>27833.90351</v>
      </c>
      <c r="J44" s="20" t="n">
        <f aca="false">SUM(K44:O44)</f>
        <v>0</v>
      </c>
      <c r="K44" s="21"/>
      <c r="L44" s="21"/>
      <c r="M44" s="40"/>
      <c r="N44" s="21"/>
      <c r="O44" s="21"/>
      <c r="P44" s="21" t="n">
        <f aca="false">SUM(Q44:U44)</f>
        <v>27833.90351</v>
      </c>
      <c r="Q44" s="21"/>
      <c r="R44" s="21"/>
      <c r="S44" s="40" t="n">
        <f aca="false">0+27.8339</f>
        <v>27.8339</v>
      </c>
      <c r="T44" s="21" t="n">
        <f aca="false">0+27806.06961</f>
        <v>27806.06961</v>
      </c>
      <c r="U44" s="21"/>
      <c r="V44" s="21" t="n">
        <f aca="false">SUM(W44:AA44)</f>
        <v>0</v>
      </c>
      <c r="W44" s="21"/>
      <c r="X44" s="21"/>
      <c r="Y44" s="21"/>
      <c r="Z44" s="21"/>
      <c r="AA44" s="21"/>
      <c r="AB44" s="21" t="n">
        <f aca="false">SUM(AC44:AF44)</f>
        <v>0</v>
      </c>
      <c r="AC44" s="21"/>
      <c r="AD44" s="21"/>
      <c r="AE44" s="21"/>
      <c r="AF44" s="21"/>
      <c r="AG44" s="20" t="n">
        <f aca="false">SUM(AH44:AK44)</f>
        <v>0</v>
      </c>
      <c r="AH44" s="21"/>
      <c r="AI44" s="21"/>
      <c r="AJ44" s="21"/>
      <c r="AK44" s="21"/>
      <c r="AL44" s="18" t="s">
        <v>238</v>
      </c>
      <c r="AM44" s="18" t="s">
        <v>26</v>
      </c>
      <c r="AN44" s="18"/>
      <c r="AO44" s="18" t="s">
        <v>155</v>
      </c>
      <c r="AP44" s="18"/>
      <c r="AQ44" s="18" t="s">
        <v>267</v>
      </c>
      <c r="AR44" s="18" t="s">
        <v>41</v>
      </c>
      <c r="AS44" s="18" t="s">
        <v>268</v>
      </c>
      <c r="AT44" s="18" t="s">
        <v>268</v>
      </c>
      <c r="AU44" s="18"/>
      <c r="AV44" s="18" t="s">
        <v>159</v>
      </c>
      <c r="AW44" s="18" t="s">
        <v>165</v>
      </c>
      <c r="AX44" s="18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customFormat="false" ht="89.25" hidden="false" customHeight="true" outlineLevel="0" collapsed="false">
      <c r="A45" s="17" t="s">
        <v>269</v>
      </c>
      <c r="B45" s="18" t="s">
        <v>233</v>
      </c>
      <c r="C45" s="18" t="s">
        <v>41</v>
      </c>
      <c r="D45" s="18" t="s">
        <v>234</v>
      </c>
      <c r="E45" s="19" t="s">
        <v>235</v>
      </c>
      <c r="F45" s="18" t="s">
        <v>236</v>
      </c>
      <c r="G45" s="18" t="s">
        <v>237</v>
      </c>
      <c r="H45" s="18" t="s">
        <v>270</v>
      </c>
      <c r="I45" s="20" t="n">
        <f aca="false">J45+P45+V45+AB45+AG45</f>
        <v>25446.31271</v>
      </c>
      <c r="J45" s="20" t="n">
        <f aca="false">SUM(K45:O45)</f>
        <v>0</v>
      </c>
      <c r="K45" s="21"/>
      <c r="L45" s="21"/>
      <c r="M45" s="40"/>
      <c r="N45" s="21"/>
      <c r="O45" s="21"/>
      <c r="P45" s="21" t="n">
        <f aca="false">SUM(Q45:U45)</f>
        <v>0</v>
      </c>
      <c r="Q45" s="21"/>
      <c r="R45" s="21"/>
      <c r="S45" s="40"/>
      <c r="T45" s="21"/>
      <c r="U45" s="21"/>
      <c r="V45" s="21" t="n">
        <f aca="false">SUM(W45:AA45)</f>
        <v>25446.31271</v>
      </c>
      <c r="W45" s="21"/>
      <c r="X45" s="21"/>
      <c r="Y45" s="21" t="n">
        <f aca="false">0+25.44631</f>
        <v>25.44631</v>
      </c>
      <c r="Z45" s="21" t="n">
        <f aca="false">0+25420.8664</f>
        <v>25420.8664</v>
      </c>
      <c r="AA45" s="21"/>
      <c r="AB45" s="21" t="n">
        <f aca="false">SUM(AC45:AF45)</f>
        <v>0</v>
      </c>
      <c r="AC45" s="21"/>
      <c r="AD45" s="21"/>
      <c r="AE45" s="21"/>
      <c r="AF45" s="21"/>
      <c r="AG45" s="20" t="n">
        <f aca="false">SUM(AH45:AK45)</f>
        <v>0</v>
      </c>
      <c r="AH45" s="21"/>
      <c r="AI45" s="21"/>
      <c r="AJ45" s="21"/>
      <c r="AK45" s="21"/>
      <c r="AL45" s="18" t="s">
        <v>238</v>
      </c>
      <c r="AM45" s="18" t="s">
        <v>27</v>
      </c>
      <c r="AN45" s="18"/>
      <c r="AO45" s="18" t="s">
        <v>155</v>
      </c>
      <c r="AP45" s="18"/>
      <c r="AQ45" s="18" t="s">
        <v>270</v>
      </c>
      <c r="AR45" s="18" t="s">
        <v>41</v>
      </c>
      <c r="AS45" s="18" t="s">
        <v>271</v>
      </c>
      <c r="AT45" s="18" t="s">
        <v>271</v>
      </c>
      <c r="AU45" s="18"/>
      <c r="AV45" s="18" t="s">
        <v>159</v>
      </c>
      <c r="AW45" s="18" t="s">
        <v>165</v>
      </c>
      <c r="AX45" s="18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customFormat="false" ht="89.25" hidden="false" customHeight="true" outlineLevel="0" collapsed="false">
      <c r="A46" s="17" t="s">
        <v>272</v>
      </c>
      <c r="B46" s="18" t="s">
        <v>233</v>
      </c>
      <c r="C46" s="18" t="s">
        <v>41</v>
      </c>
      <c r="D46" s="18" t="s">
        <v>234</v>
      </c>
      <c r="E46" s="19" t="s">
        <v>235</v>
      </c>
      <c r="F46" s="18" t="s">
        <v>236</v>
      </c>
      <c r="G46" s="18" t="s">
        <v>237</v>
      </c>
      <c r="H46" s="18" t="s">
        <v>273</v>
      </c>
      <c r="I46" s="20" t="n">
        <f aca="false">J46+P46+V46+AB46+AG46</f>
        <v>40042.67353</v>
      </c>
      <c r="J46" s="20" t="n">
        <f aca="false">SUM(K46:O46)</f>
        <v>40042.67353</v>
      </c>
      <c r="K46" s="21"/>
      <c r="L46" s="21"/>
      <c r="M46" s="40" t="n">
        <f aca="false">0+40.04267</f>
        <v>40.04267</v>
      </c>
      <c r="N46" s="21" t="n">
        <f aca="false">0+40002.63086</f>
        <v>40002.63086</v>
      </c>
      <c r="O46" s="21"/>
      <c r="P46" s="21" t="n">
        <f aca="false">SUM(Q46:U46)</f>
        <v>0</v>
      </c>
      <c r="Q46" s="21"/>
      <c r="R46" s="21"/>
      <c r="S46" s="40"/>
      <c r="T46" s="21"/>
      <c r="U46" s="21"/>
      <c r="V46" s="21" t="n">
        <f aca="false">SUM(W46:AA46)</f>
        <v>0</v>
      </c>
      <c r="W46" s="21"/>
      <c r="X46" s="21"/>
      <c r="Y46" s="21"/>
      <c r="Z46" s="21"/>
      <c r="AA46" s="21"/>
      <c r="AB46" s="21" t="n">
        <f aca="false">SUM(AC46:AF46)</f>
        <v>0</v>
      </c>
      <c r="AC46" s="21"/>
      <c r="AD46" s="21"/>
      <c r="AE46" s="21"/>
      <c r="AF46" s="21"/>
      <c r="AG46" s="20" t="n">
        <f aca="false">SUM(AH46:AK46)</f>
        <v>0</v>
      </c>
      <c r="AH46" s="21"/>
      <c r="AI46" s="21"/>
      <c r="AJ46" s="21"/>
      <c r="AK46" s="21"/>
      <c r="AL46" s="18" t="s">
        <v>238</v>
      </c>
      <c r="AM46" s="18" t="s">
        <v>25</v>
      </c>
      <c r="AN46" s="18"/>
      <c r="AO46" s="18" t="s">
        <v>155</v>
      </c>
      <c r="AP46" s="18"/>
      <c r="AQ46" s="18" t="s">
        <v>273</v>
      </c>
      <c r="AR46" s="18" t="s">
        <v>41</v>
      </c>
      <c r="AS46" s="18" t="s">
        <v>274</v>
      </c>
      <c r="AT46" s="18" t="s">
        <v>274</v>
      </c>
      <c r="AU46" s="18"/>
      <c r="AV46" s="18" t="s">
        <v>159</v>
      </c>
      <c r="AW46" s="18" t="s">
        <v>165</v>
      </c>
      <c r="AX46" s="18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customFormat="false" ht="89.25" hidden="false" customHeight="true" outlineLevel="0" collapsed="false">
      <c r="A47" s="17" t="s">
        <v>275</v>
      </c>
      <c r="B47" s="18" t="s">
        <v>233</v>
      </c>
      <c r="C47" s="18" t="s">
        <v>41</v>
      </c>
      <c r="D47" s="18" t="s">
        <v>234</v>
      </c>
      <c r="E47" s="19" t="s">
        <v>235</v>
      </c>
      <c r="F47" s="18" t="s">
        <v>236</v>
      </c>
      <c r="G47" s="18" t="s">
        <v>237</v>
      </c>
      <c r="H47" s="18" t="s">
        <v>276</v>
      </c>
      <c r="I47" s="20" t="n">
        <f aca="false">J47+P47+V47+AB47+AG47</f>
        <v>31117.49999</v>
      </c>
      <c r="J47" s="20" t="n">
        <f aca="false">SUM(K47:O47)</f>
        <v>31117.49999</v>
      </c>
      <c r="K47" s="21"/>
      <c r="L47" s="21"/>
      <c r="M47" s="40" t="n">
        <f aca="false">0+31.11749</f>
        <v>31.11749</v>
      </c>
      <c r="N47" s="21" t="n">
        <f aca="false">0+31086.3825</f>
        <v>31086.3825</v>
      </c>
      <c r="O47" s="21"/>
      <c r="P47" s="21" t="n">
        <f aca="false">SUM(Q47:U47)</f>
        <v>0</v>
      </c>
      <c r="Q47" s="21"/>
      <c r="R47" s="21"/>
      <c r="S47" s="40"/>
      <c r="T47" s="21"/>
      <c r="U47" s="21"/>
      <c r="V47" s="21" t="n">
        <f aca="false">SUM(W47:AA47)</f>
        <v>0</v>
      </c>
      <c r="W47" s="21"/>
      <c r="X47" s="21"/>
      <c r="Y47" s="21"/>
      <c r="Z47" s="21"/>
      <c r="AA47" s="21"/>
      <c r="AB47" s="21" t="n">
        <f aca="false">SUM(AC47:AF47)</f>
        <v>0</v>
      </c>
      <c r="AC47" s="21"/>
      <c r="AD47" s="21"/>
      <c r="AE47" s="21"/>
      <c r="AF47" s="21"/>
      <c r="AG47" s="20" t="n">
        <f aca="false">SUM(AH47:AK47)</f>
        <v>0</v>
      </c>
      <c r="AH47" s="21"/>
      <c r="AI47" s="21"/>
      <c r="AJ47" s="21"/>
      <c r="AK47" s="21"/>
      <c r="AL47" s="18" t="s">
        <v>238</v>
      </c>
      <c r="AM47" s="18" t="s">
        <v>25</v>
      </c>
      <c r="AN47" s="18"/>
      <c r="AO47" s="18" t="s">
        <v>155</v>
      </c>
      <c r="AP47" s="18"/>
      <c r="AQ47" s="18" t="s">
        <v>276</v>
      </c>
      <c r="AR47" s="18" t="s">
        <v>41</v>
      </c>
      <c r="AS47" s="18" t="s">
        <v>277</v>
      </c>
      <c r="AT47" s="18" t="s">
        <v>277</v>
      </c>
      <c r="AU47" s="18"/>
      <c r="AV47" s="18" t="s">
        <v>159</v>
      </c>
      <c r="AW47" s="18" t="s">
        <v>165</v>
      </c>
      <c r="AX47" s="18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customFormat="false" ht="89.25" hidden="false" customHeight="true" outlineLevel="0" collapsed="false">
      <c r="A48" s="17" t="s">
        <v>278</v>
      </c>
      <c r="B48" s="18" t="s">
        <v>233</v>
      </c>
      <c r="C48" s="18" t="s">
        <v>41</v>
      </c>
      <c r="D48" s="18" t="s">
        <v>234</v>
      </c>
      <c r="E48" s="19" t="s">
        <v>235</v>
      </c>
      <c r="F48" s="18" t="s">
        <v>236</v>
      </c>
      <c r="G48" s="18" t="s">
        <v>237</v>
      </c>
      <c r="H48" s="18" t="s">
        <v>279</v>
      </c>
      <c r="I48" s="20" t="n">
        <f aca="false">J48+P48+V48+AB48+AG48</f>
        <v>23092.3049</v>
      </c>
      <c r="J48" s="20" t="n">
        <f aca="false">SUM(K48:O48)</f>
        <v>0</v>
      </c>
      <c r="K48" s="21"/>
      <c r="L48" s="21"/>
      <c r="M48" s="40"/>
      <c r="N48" s="21"/>
      <c r="O48" s="21"/>
      <c r="P48" s="21" t="n">
        <f aca="false">SUM(Q48:U48)</f>
        <v>0</v>
      </c>
      <c r="Q48" s="21"/>
      <c r="R48" s="21"/>
      <c r="S48" s="40"/>
      <c r="T48" s="21"/>
      <c r="U48" s="21"/>
      <c r="V48" s="21" t="n">
        <f aca="false">SUM(W48:AA48)</f>
        <v>23092.3049</v>
      </c>
      <c r="W48" s="21"/>
      <c r="X48" s="21"/>
      <c r="Y48" s="21" t="n">
        <f aca="false">0+23.0923</f>
        <v>23.0923</v>
      </c>
      <c r="Z48" s="21" t="n">
        <f aca="false">0+23069.2126</f>
        <v>23069.2126</v>
      </c>
      <c r="AA48" s="21"/>
      <c r="AB48" s="21" t="n">
        <f aca="false">SUM(AC48:AF48)</f>
        <v>0</v>
      </c>
      <c r="AC48" s="21"/>
      <c r="AD48" s="21"/>
      <c r="AE48" s="21"/>
      <c r="AF48" s="21"/>
      <c r="AG48" s="20" t="n">
        <f aca="false">SUM(AH48:AK48)</f>
        <v>0</v>
      </c>
      <c r="AH48" s="21"/>
      <c r="AI48" s="21"/>
      <c r="AJ48" s="21"/>
      <c r="AK48" s="21"/>
      <c r="AL48" s="18" t="s">
        <v>238</v>
      </c>
      <c r="AM48" s="18" t="s">
        <v>27</v>
      </c>
      <c r="AN48" s="18"/>
      <c r="AO48" s="18" t="s">
        <v>155</v>
      </c>
      <c r="AP48" s="18"/>
      <c r="AQ48" s="18" t="s">
        <v>279</v>
      </c>
      <c r="AR48" s="18" t="s">
        <v>41</v>
      </c>
      <c r="AS48" s="18" t="s">
        <v>280</v>
      </c>
      <c r="AT48" s="18" t="s">
        <v>280</v>
      </c>
      <c r="AU48" s="18"/>
      <c r="AV48" s="18" t="s">
        <v>159</v>
      </c>
      <c r="AW48" s="18" t="s">
        <v>165</v>
      </c>
      <c r="AX48" s="18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customFormat="false" ht="89.25" hidden="false" customHeight="true" outlineLevel="0" collapsed="false">
      <c r="A49" s="17" t="s">
        <v>281</v>
      </c>
      <c r="B49" s="18" t="s">
        <v>233</v>
      </c>
      <c r="C49" s="18" t="s">
        <v>41</v>
      </c>
      <c r="D49" s="18" t="s">
        <v>234</v>
      </c>
      <c r="E49" s="19" t="s">
        <v>235</v>
      </c>
      <c r="F49" s="18" t="s">
        <v>236</v>
      </c>
      <c r="G49" s="18" t="s">
        <v>237</v>
      </c>
      <c r="H49" s="18" t="s">
        <v>282</v>
      </c>
      <c r="I49" s="20" t="n">
        <f aca="false">J49+P49+V49+AB49+AG49</f>
        <v>58456.70181</v>
      </c>
      <c r="J49" s="20" t="n">
        <f aca="false">SUM(K49:O49)</f>
        <v>0</v>
      </c>
      <c r="K49" s="21"/>
      <c r="L49" s="21"/>
      <c r="M49" s="40"/>
      <c r="N49" s="21"/>
      <c r="O49" s="21"/>
      <c r="P49" s="21" t="n">
        <f aca="false">SUM(Q49:U49)</f>
        <v>58456.70181</v>
      </c>
      <c r="Q49" s="21"/>
      <c r="R49" s="21"/>
      <c r="S49" s="40" t="n">
        <f aca="false">0+58.4567</f>
        <v>58.4567</v>
      </c>
      <c r="T49" s="21" t="n">
        <f aca="false">0+58398.24511</f>
        <v>58398.24511</v>
      </c>
      <c r="U49" s="21"/>
      <c r="V49" s="21" t="n">
        <f aca="false">SUM(W49:AA49)</f>
        <v>0</v>
      </c>
      <c r="W49" s="21"/>
      <c r="X49" s="21"/>
      <c r="Y49" s="21"/>
      <c r="Z49" s="21"/>
      <c r="AA49" s="21"/>
      <c r="AB49" s="21" t="n">
        <f aca="false">SUM(AC49:AF49)</f>
        <v>0</v>
      </c>
      <c r="AC49" s="21"/>
      <c r="AD49" s="21"/>
      <c r="AE49" s="21"/>
      <c r="AF49" s="21"/>
      <c r="AG49" s="20" t="n">
        <f aca="false">SUM(AH49:AK49)</f>
        <v>0</v>
      </c>
      <c r="AH49" s="21"/>
      <c r="AI49" s="21"/>
      <c r="AJ49" s="21"/>
      <c r="AK49" s="21"/>
      <c r="AL49" s="18" t="s">
        <v>238</v>
      </c>
      <c r="AM49" s="18" t="s">
        <v>26</v>
      </c>
      <c r="AN49" s="18"/>
      <c r="AO49" s="18" t="s">
        <v>155</v>
      </c>
      <c r="AP49" s="18"/>
      <c r="AQ49" s="18" t="s">
        <v>283</v>
      </c>
      <c r="AR49" s="18" t="s">
        <v>41</v>
      </c>
      <c r="AS49" s="18" t="s">
        <v>284</v>
      </c>
      <c r="AT49" s="18" t="s">
        <v>284</v>
      </c>
      <c r="AU49" s="18"/>
      <c r="AV49" s="18" t="s">
        <v>159</v>
      </c>
      <c r="AW49" s="18" t="s">
        <v>165</v>
      </c>
      <c r="AX49" s="18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customFormat="false" ht="89.25" hidden="false" customHeight="true" outlineLevel="0" collapsed="false">
      <c r="A50" s="17" t="s">
        <v>285</v>
      </c>
      <c r="B50" s="18" t="s">
        <v>233</v>
      </c>
      <c r="C50" s="18" t="s">
        <v>41</v>
      </c>
      <c r="D50" s="18" t="s">
        <v>234</v>
      </c>
      <c r="E50" s="19" t="s">
        <v>235</v>
      </c>
      <c r="F50" s="18" t="s">
        <v>236</v>
      </c>
      <c r="G50" s="18" t="s">
        <v>237</v>
      </c>
      <c r="H50" s="18" t="s">
        <v>286</v>
      </c>
      <c r="I50" s="20" t="n">
        <f aca="false">J50+P50+V50+AB50+AG50</f>
        <v>133452.41301</v>
      </c>
      <c r="J50" s="20" t="n">
        <f aca="false">SUM(K50:O50)</f>
        <v>0</v>
      </c>
      <c r="K50" s="21"/>
      <c r="L50" s="21"/>
      <c r="M50" s="40"/>
      <c r="N50" s="21"/>
      <c r="O50" s="21"/>
      <c r="P50" s="21" t="n">
        <f aca="false">SUM(Q50:U50)</f>
        <v>82032.05486</v>
      </c>
      <c r="Q50" s="21"/>
      <c r="R50" s="21"/>
      <c r="S50" s="40" t="n">
        <f aca="false">0+82.03205</f>
        <v>82.03205</v>
      </c>
      <c r="T50" s="21" t="n">
        <f aca="false">0+81950.02281</f>
        <v>81950.02281</v>
      </c>
      <c r="U50" s="21"/>
      <c r="V50" s="21" t="n">
        <f aca="false">SUM(W50:AA50)</f>
        <v>51420.35815</v>
      </c>
      <c r="W50" s="21"/>
      <c r="X50" s="21"/>
      <c r="Y50" s="21" t="n">
        <f aca="false">0+51.42035</f>
        <v>51.42035</v>
      </c>
      <c r="Z50" s="21" t="n">
        <f aca="false">0+51368.9378</f>
        <v>51368.9378</v>
      </c>
      <c r="AA50" s="21"/>
      <c r="AB50" s="21" t="n">
        <f aca="false">SUM(AC50:AF50)</f>
        <v>0</v>
      </c>
      <c r="AC50" s="21"/>
      <c r="AD50" s="21"/>
      <c r="AE50" s="21"/>
      <c r="AF50" s="21"/>
      <c r="AG50" s="20" t="n">
        <f aca="false">SUM(AH50:AK50)</f>
        <v>0</v>
      </c>
      <c r="AH50" s="21"/>
      <c r="AI50" s="21"/>
      <c r="AJ50" s="21"/>
      <c r="AK50" s="21"/>
      <c r="AL50" s="18" t="s">
        <v>238</v>
      </c>
      <c r="AM50" s="18" t="s">
        <v>27</v>
      </c>
      <c r="AN50" s="18"/>
      <c r="AO50" s="18" t="s">
        <v>155</v>
      </c>
      <c r="AP50" s="18"/>
      <c r="AQ50" s="18" t="s">
        <v>287</v>
      </c>
      <c r="AR50" s="18" t="s">
        <v>41</v>
      </c>
      <c r="AS50" s="18" t="s">
        <v>288</v>
      </c>
      <c r="AT50" s="18" t="s">
        <v>288</v>
      </c>
      <c r="AU50" s="18"/>
      <c r="AV50" s="18" t="s">
        <v>159</v>
      </c>
      <c r="AW50" s="18" t="s">
        <v>165</v>
      </c>
      <c r="AX50" s="18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customFormat="false" ht="87.75" hidden="false" customHeight="true" outlineLevel="0" collapsed="false">
      <c r="A51" s="17" t="s">
        <v>289</v>
      </c>
      <c r="B51" s="18" t="s">
        <v>233</v>
      </c>
      <c r="C51" s="18" t="s">
        <v>41</v>
      </c>
      <c r="D51" s="18" t="s">
        <v>290</v>
      </c>
      <c r="E51" s="19" t="s">
        <v>235</v>
      </c>
      <c r="F51" s="18" t="s">
        <v>236</v>
      </c>
      <c r="G51" s="18" t="s">
        <v>291</v>
      </c>
      <c r="H51" s="18" t="s">
        <v>270</v>
      </c>
      <c r="I51" s="20" t="n">
        <f aca="false">J51+P51+V51+AB51+AG51</f>
        <v>267711.56301</v>
      </c>
      <c r="J51" s="20" t="n">
        <f aca="false">SUM(K51:O51)</f>
        <v>267711.56301</v>
      </c>
      <c r="K51" s="21" t="n">
        <f aca="false">100000-34710</f>
        <v>65290</v>
      </c>
      <c r="L51" s="20" t="n">
        <f aca="false">64200+100000-268.33764+38489.90065</f>
        <v>202421.56301</v>
      </c>
      <c r="M51" s="21"/>
      <c r="N51" s="21"/>
      <c r="O51" s="21"/>
      <c r="P51" s="21" t="n">
        <f aca="false">SUM(Q51:U51)</f>
        <v>0</v>
      </c>
      <c r="Q51" s="21"/>
      <c r="R51" s="21"/>
      <c r="S51" s="21"/>
      <c r="T51" s="21"/>
      <c r="U51" s="21"/>
      <c r="V51" s="21" t="n">
        <f aca="false">SUM(W51:AA51)</f>
        <v>0</v>
      </c>
      <c r="W51" s="21"/>
      <c r="X51" s="21"/>
      <c r="Y51" s="21"/>
      <c r="Z51" s="21"/>
      <c r="AA51" s="21"/>
      <c r="AB51" s="21" t="n">
        <f aca="false">SUM(AC51:AF51)</f>
        <v>0</v>
      </c>
      <c r="AC51" s="21"/>
      <c r="AD51" s="21"/>
      <c r="AE51" s="21"/>
      <c r="AF51" s="21"/>
      <c r="AG51" s="20" t="n">
        <f aca="false">SUM(AH51:AK51)</f>
        <v>0</v>
      </c>
      <c r="AH51" s="21"/>
      <c r="AI51" s="21"/>
      <c r="AJ51" s="21"/>
      <c r="AK51" s="21"/>
      <c r="AL51" s="18" t="s">
        <v>292</v>
      </c>
      <c r="AM51" s="18" t="s">
        <v>25</v>
      </c>
      <c r="AN51" s="18"/>
      <c r="AO51" s="18" t="s">
        <v>48</v>
      </c>
      <c r="AP51" s="18" t="s">
        <v>293</v>
      </c>
      <c r="AQ51" s="18" t="s">
        <v>50</v>
      </c>
      <c r="AR51" s="18" t="s">
        <v>41</v>
      </c>
      <c r="AS51" s="18" t="s">
        <v>41</v>
      </c>
      <c r="AT51" s="18" t="s">
        <v>50</v>
      </c>
      <c r="AU51" s="22" t="s">
        <v>294</v>
      </c>
      <c r="AV51" s="18" t="s">
        <v>53</v>
      </c>
      <c r="AW51" s="18" t="s">
        <v>54</v>
      </c>
      <c r="AX51" s="22" t="s">
        <v>295</v>
      </c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customFormat="false" ht="88.5" hidden="false" customHeight="true" outlineLevel="0" collapsed="false">
      <c r="A52" s="17" t="s">
        <v>296</v>
      </c>
      <c r="B52" s="18" t="s">
        <v>233</v>
      </c>
      <c r="C52" s="18" t="s">
        <v>41</v>
      </c>
      <c r="D52" s="18" t="s">
        <v>234</v>
      </c>
      <c r="E52" s="19" t="s">
        <v>235</v>
      </c>
      <c r="F52" s="18" t="s">
        <v>236</v>
      </c>
      <c r="G52" s="26" t="s">
        <v>297</v>
      </c>
      <c r="H52" s="14" t="s">
        <v>117</v>
      </c>
      <c r="I52" s="20" t="n">
        <f aca="false">J52+P52+V52+AB52+AG52</f>
        <v>10214.99999</v>
      </c>
      <c r="J52" s="27" t="n">
        <f aca="false">SUM(K52:O52)</f>
        <v>10214.99999</v>
      </c>
      <c r="K52" s="27"/>
      <c r="L52" s="27"/>
      <c r="M52" s="27" t="n">
        <f aca="false">2.265+7.94999</f>
        <v>10.21499</v>
      </c>
      <c r="N52" s="27" t="n">
        <f aca="false">2262.735+7942.05</f>
        <v>10204.785</v>
      </c>
      <c r="O52" s="29"/>
      <c r="P52" s="21" t="n">
        <f aca="false">SUM(Q52:U52)</f>
        <v>0</v>
      </c>
      <c r="Q52" s="21"/>
      <c r="R52" s="21"/>
      <c r="S52" s="21"/>
      <c r="T52" s="21"/>
      <c r="U52" s="21"/>
      <c r="V52" s="21" t="n">
        <f aca="false">SUM(W52:AA52)</f>
        <v>0</v>
      </c>
      <c r="W52" s="21"/>
      <c r="X52" s="21"/>
      <c r="Y52" s="21"/>
      <c r="Z52" s="21"/>
      <c r="AA52" s="21"/>
      <c r="AB52" s="21" t="n">
        <f aca="false">SUM(AC52:AF52)</f>
        <v>0</v>
      </c>
      <c r="AC52" s="21"/>
      <c r="AD52" s="21"/>
      <c r="AE52" s="21"/>
      <c r="AF52" s="21"/>
      <c r="AG52" s="20" t="n">
        <f aca="false">SUM(AH52:AK52)</f>
        <v>0</v>
      </c>
      <c r="AH52" s="21"/>
      <c r="AI52" s="21"/>
      <c r="AJ52" s="21"/>
      <c r="AK52" s="21"/>
      <c r="AL52" s="18" t="s">
        <v>238</v>
      </c>
      <c r="AM52" s="29" t="s">
        <v>25</v>
      </c>
      <c r="AN52" s="29"/>
      <c r="AO52" s="26" t="s">
        <v>155</v>
      </c>
      <c r="AP52" s="29"/>
      <c r="AQ52" s="26" t="s">
        <v>117</v>
      </c>
      <c r="AR52" s="26" t="s">
        <v>298</v>
      </c>
      <c r="AS52" s="26" t="s">
        <v>157</v>
      </c>
      <c r="AT52" s="26" t="s">
        <v>157</v>
      </c>
      <c r="AU52" s="29"/>
      <c r="AV52" s="26" t="s">
        <v>159</v>
      </c>
      <c r="AW52" s="26" t="s">
        <v>165</v>
      </c>
      <c r="AX52" s="29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customFormat="false" ht="147.75" hidden="false" customHeight="true" outlineLevel="0" collapsed="false">
      <c r="A53" s="17" t="s">
        <v>299</v>
      </c>
      <c r="B53" s="18" t="s">
        <v>233</v>
      </c>
      <c r="C53" s="14" t="s">
        <v>162</v>
      </c>
      <c r="D53" s="14" t="s">
        <v>300</v>
      </c>
      <c r="E53" s="17" t="s">
        <v>235</v>
      </c>
      <c r="F53" s="26" t="s">
        <v>301</v>
      </c>
      <c r="G53" s="14" t="s">
        <v>302</v>
      </c>
      <c r="H53" s="14" t="s">
        <v>303</v>
      </c>
      <c r="I53" s="20" t="n">
        <f aca="false">J53+P53+V53+AB53+AG53</f>
        <v>553576.43615</v>
      </c>
      <c r="J53" s="20" t="n">
        <f aca="false">SUM(K53:O53)</f>
        <v>9926.43615</v>
      </c>
      <c r="K53" s="20"/>
      <c r="L53" s="20" t="n">
        <f aca="false">13100-3173.56385</f>
        <v>9926.43615</v>
      </c>
      <c r="M53" s="20"/>
      <c r="N53" s="20"/>
      <c r="O53" s="20"/>
      <c r="P53" s="21" t="n">
        <f aca="false">SUM(Q53:U53)</f>
        <v>29400</v>
      </c>
      <c r="Q53" s="20"/>
      <c r="R53" s="20" t="n">
        <f aca="false">197750-168350</f>
        <v>29400</v>
      </c>
      <c r="S53" s="20"/>
      <c r="T53" s="20"/>
      <c r="U53" s="20"/>
      <c r="V53" s="21" t="n">
        <f aca="false">SUM(W53:AA53)</f>
        <v>197750</v>
      </c>
      <c r="W53" s="20"/>
      <c r="X53" s="20" t="n">
        <v>197750</v>
      </c>
      <c r="Y53" s="20"/>
      <c r="Z53" s="20"/>
      <c r="AA53" s="20"/>
      <c r="AB53" s="21" t="n">
        <f aca="false">SUM(AC53:AF53)</f>
        <v>197750</v>
      </c>
      <c r="AC53" s="20"/>
      <c r="AD53" s="20" t="n">
        <v>197750</v>
      </c>
      <c r="AE53" s="20"/>
      <c r="AF53" s="20"/>
      <c r="AG53" s="20" t="n">
        <f aca="false">SUM(AH53:AK53)</f>
        <v>118750</v>
      </c>
      <c r="AH53" s="20"/>
      <c r="AI53" s="20" t="n">
        <v>118750</v>
      </c>
      <c r="AJ53" s="20"/>
      <c r="AK53" s="20"/>
      <c r="AL53" s="14" t="s">
        <v>304</v>
      </c>
      <c r="AM53" s="41" t="s">
        <v>29</v>
      </c>
      <c r="AN53" s="41"/>
      <c r="AO53" s="14" t="s">
        <v>305</v>
      </c>
      <c r="AP53" s="41"/>
      <c r="AQ53" s="14" t="s">
        <v>162</v>
      </c>
      <c r="AR53" s="26" t="s">
        <v>41</v>
      </c>
      <c r="AS53" s="14" t="s">
        <v>162</v>
      </c>
      <c r="AT53" s="14" t="s">
        <v>162</v>
      </c>
      <c r="AU53" s="41"/>
      <c r="AV53" s="18" t="s">
        <v>53</v>
      </c>
      <c r="AW53" s="14" t="s">
        <v>165</v>
      </c>
      <c r="AX53" s="41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customFormat="false" ht="114" hidden="false" customHeight="true" outlineLevel="0" collapsed="false">
      <c r="A54" s="17" t="s">
        <v>306</v>
      </c>
      <c r="B54" s="14" t="s">
        <v>307</v>
      </c>
      <c r="C54" s="14" t="s">
        <v>308</v>
      </c>
      <c r="D54" s="26" t="s">
        <v>309</v>
      </c>
      <c r="E54" s="17" t="s">
        <v>310</v>
      </c>
      <c r="F54" s="42" t="s">
        <v>311</v>
      </c>
      <c r="G54" s="14" t="s">
        <v>312</v>
      </c>
      <c r="H54" s="14" t="s">
        <v>313</v>
      </c>
      <c r="I54" s="20" t="n">
        <f aca="false">J54+P54+V54+AB54+AG54</f>
        <v>373344.38</v>
      </c>
      <c r="J54" s="20" t="n">
        <f aca="false">SUM(K54:O54)</f>
        <v>104672.13</v>
      </c>
      <c r="K54" s="20"/>
      <c r="L54" s="20" t="n">
        <f aca="false">221310+61427.28-178065.15</f>
        <v>104672.13</v>
      </c>
      <c r="M54" s="20"/>
      <c r="N54" s="20"/>
      <c r="O54" s="20"/>
      <c r="P54" s="21" t="n">
        <f aca="false">SUM(Q54:U54)</f>
        <v>268672.25</v>
      </c>
      <c r="Q54" s="20"/>
      <c r="R54" s="20" t="n">
        <f aca="false">0+268672.25</f>
        <v>268672.25</v>
      </c>
      <c r="S54" s="20"/>
      <c r="T54" s="20"/>
      <c r="U54" s="20"/>
      <c r="V54" s="21" t="n">
        <f aca="false">SUM(W54:AA54)</f>
        <v>0</v>
      </c>
      <c r="W54" s="20"/>
      <c r="X54" s="20"/>
      <c r="Y54" s="20"/>
      <c r="Z54" s="20"/>
      <c r="AA54" s="20"/>
      <c r="AB54" s="21" t="n">
        <f aca="false">SUM(AC54:AF54)</f>
        <v>0</v>
      </c>
      <c r="AC54" s="20"/>
      <c r="AD54" s="20"/>
      <c r="AE54" s="20"/>
      <c r="AF54" s="20"/>
      <c r="AG54" s="20" t="n">
        <f aca="false">SUM(AH54:AK54)</f>
        <v>0</v>
      </c>
      <c r="AH54" s="20"/>
      <c r="AI54" s="20"/>
      <c r="AJ54" s="20"/>
      <c r="AK54" s="20"/>
      <c r="AL54" s="14" t="s">
        <v>314</v>
      </c>
      <c r="AM54" s="26" t="s">
        <v>25</v>
      </c>
      <c r="AN54" s="14"/>
      <c r="AO54" s="14" t="s">
        <v>315</v>
      </c>
      <c r="AP54" s="14"/>
      <c r="AQ54" s="14" t="s">
        <v>316</v>
      </c>
      <c r="AR54" s="26" t="s">
        <v>317</v>
      </c>
      <c r="AS54" s="14" t="s">
        <v>316</v>
      </c>
      <c r="AT54" s="14" t="s">
        <v>316</v>
      </c>
      <c r="AU54" s="25" t="s">
        <v>318</v>
      </c>
      <c r="AV54" s="18" t="s">
        <v>53</v>
      </c>
      <c r="AW54" s="14" t="s">
        <v>319</v>
      </c>
      <c r="AX54" s="26" t="s">
        <v>320</v>
      </c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customFormat="false" ht="111.75" hidden="false" customHeight="true" outlineLevel="0" collapsed="false">
      <c r="A55" s="17" t="s">
        <v>321</v>
      </c>
      <c r="B55" s="14" t="s">
        <v>307</v>
      </c>
      <c r="C55" s="14" t="s">
        <v>308</v>
      </c>
      <c r="D55" s="26" t="s">
        <v>322</v>
      </c>
      <c r="E55" s="17" t="s">
        <v>310</v>
      </c>
      <c r="F55" s="42" t="s">
        <v>311</v>
      </c>
      <c r="G55" s="16" t="s">
        <v>323</v>
      </c>
      <c r="H55" s="16" t="s">
        <v>313</v>
      </c>
      <c r="I55" s="20" t="n">
        <f aca="false">J55+P55+V55+AB55+AG55</f>
        <v>288730.17351</v>
      </c>
      <c r="J55" s="20" t="n">
        <f aca="false">SUM(K55:O55)</f>
        <v>288730.17351</v>
      </c>
      <c r="K55" s="20" t="n">
        <f aca="false">43302.6-43302.6+2676.21471+230279.35533</f>
        <v>232955.57004</v>
      </c>
      <c r="L55" s="20" t="n">
        <v>50000</v>
      </c>
      <c r="M55" s="20" t="n">
        <f aca="false">4691.02675-3616.00196+4699.57868</f>
        <v>5774.60347</v>
      </c>
      <c r="N55" s="20"/>
      <c r="O55" s="20"/>
      <c r="P55" s="21" t="n">
        <f aca="false">SUM(Q55:U55)</f>
        <v>0</v>
      </c>
      <c r="Q55" s="20" t="n">
        <f aca="false">89812-89812</f>
        <v>0</v>
      </c>
      <c r="R55" s="20" t="n">
        <f aca="false">179860.31086-179860.31086</f>
        <v>0</v>
      </c>
      <c r="S55" s="20"/>
      <c r="T55" s="20"/>
      <c r="U55" s="20"/>
      <c r="V55" s="21" t="n">
        <f aca="false">SUM(W55:AA55)</f>
        <v>0</v>
      </c>
      <c r="W55" s="20"/>
      <c r="X55" s="20"/>
      <c r="Y55" s="20"/>
      <c r="Z55" s="20"/>
      <c r="AA55" s="20"/>
      <c r="AB55" s="21" t="n">
        <f aca="false">SUM(AC55:AF55)</f>
        <v>0</v>
      </c>
      <c r="AC55" s="20"/>
      <c r="AD55" s="20"/>
      <c r="AE55" s="20"/>
      <c r="AF55" s="20"/>
      <c r="AG55" s="20" t="n">
        <f aca="false">SUM(AH55:AK55)</f>
        <v>0</v>
      </c>
      <c r="AH55" s="20"/>
      <c r="AI55" s="20"/>
      <c r="AJ55" s="20"/>
      <c r="AK55" s="20"/>
      <c r="AL55" s="16" t="s">
        <v>324</v>
      </c>
      <c r="AM55" s="26" t="s">
        <v>25</v>
      </c>
      <c r="AN55" s="16"/>
      <c r="AO55" s="14" t="s">
        <v>155</v>
      </c>
      <c r="AP55" s="16" t="s">
        <v>325</v>
      </c>
      <c r="AQ55" s="16" t="s">
        <v>253</v>
      </c>
      <c r="AR55" s="26" t="s">
        <v>317</v>
      </c>
      <c r="AS55" s="16" t="s">
        <v>254</v>
      </c>
      <c r="AT55" s="16" t="s">
        <v>254</v>
      </c>
      <c r="AU55" s="25" t="s">
        <v>326</v>
      </c>
      <c r="AV55" s="14" t="s">
        <v>159</v>
      </c>
      <c r="AW55" s="16" t="s">
        <v>54</v>
      </c>
      <c r="AX55" s="26" t="s">
        <v>327</v>
      </c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customFormat="false" ht="111.75" hidden="false" customHeight="true" outlineLevel="0" collapsed="false">
      <c r="A56" s="17" t="s">
        <v>328</v>
      </c>
      <c r="B56" s="14" t="s">
        <v>307</v>
      </c>
      <c r="C56" s="14" t="s">
        <v>308</v>
      </c>
      <c r="D56" s="29" t="s">
        <v>329</v>
      </c>
      <c r="E56" s="16" t="s">
        <v>330</v>
      </c>
      <c r="F56" s="16" t="s">
        <v>331</v>
      </c>
      <c r="G56" s="16" t="s">
        <v>332</v>
      </c>
      <c r="H56" s="14" t="s">
        <v>117</v>
      </c>
      <c r="I56" s="20" t="n">
        <f aca="false">J56+P56+V56+AB56+AG56</f>
        <v>10447198.53892</v>
      </c>
      <c r="J56" s="20" t="n">
        <f aca="false">SUM(K56:O56)</f>
        <v>8663723.48423</v>
      </c>
      <c r="K56" s="20" t="n">
        <v>8000000</v>
      </c>
      <c r="L56" s="20" t="n">
        <f aca="false">605000+582543.9-523820.41577</f>
        <v>663723.48423</v>
      </c>
      <c r="M56" s="25"/>
      <c r="N56" s="25"/>
      <c r="O56" s="25"/>
      <c r="P56" s="21" t="n">
        <f aca="false">SUM(Q56:U56)</f>
        <v>1783364.61692</v>
      </c>
      <c r="Q56" s="25"/>
      <c r="R56" s="20" t="n">
        <f aca="false">0+523820.41577+1059295.1142+31899.08695+168350</f>
        <v>1783364.61692</v>
      </c>
      <c r="S56" s="25"/>
      <c r="T56" s="25"/>
      <c r="U56" s="25"/>
      <c r="V56" s="21" t="n">
        <f aca="false">SUM(W56:AA56)</f>
        <v>110.43777</v>
      </c>
      <c r="W56" s="25"/>
      <c r="X56" s="25" t="n">
        <f aca="false">0+110.43777</f>
        <v>110.43777</v>
      </c>
      <c r="Y56" s="25"/>
      <c r="Z56" s="25"/>
      <c r="AA56" s="25"/>
      <c r="AB56" s="21" t="n">
        <f aca="false">SUM(AC56:AF56)</f>
        <v>0</v>
      </c>
      <c r="AC56" s="25"/>
      <c r="AD56" s="25"/>
      <c r="AE56" s="25"/>
      <c r="AF56" s="25"/>
      <c r="AG56" s="20" t="n">
        <f aca="false">SUM(AH56:AK56)</f>
        <v>0</v>
      </c>
      <c r="AH56" s="25"/>
      <c r="AI56" s="25"/>
      <c r="AJ56" s="25"/>
      <c r="AK56" s="25"/>
      <c r="AL56" s="16" t="s">
        <v>333</v>
      </c>
      <c r="AM56" s="16" t="s">
        <v>26</v>
      </c>
      <c r="AN56" s="16"/>
      <c r="AO56" s="16" t="s">
        <v>48</v>
      </c>
      <c r="AP56" s="16" t="s">
        <v>334</v>
      </c>
      <c r="AQ56" s="26" t="s">
        <v>335</v>
      </c>
      <c r="AR56" s="26" t="s">
        <v>317</v>
      </c>
      <c r="AS56" s="26" t="s">
        <v>335</v>
      </c>
      <c r="AT56" s="26" t="s">
        <v>335</v>
      </c>
      <c r="AU56" s="16" t="s">
        <v>336</v>
      </c>
      <c r="AV56" s="26" t="s">
        <v>53</v>
      </c>
      <c r="AW56" s="16" t="s">
        <v>54</v>
      </c>
      <c r="AX56" s="16" t="s">
        <v>337</v>
      </c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customFormat="false" ht="132.75" hidden="false" customHeight="true" outlineLevel="0" collapsed="false">
      <c r="A57" s="17" t="s">
        <v>338</v>
      </c>
      <c r="B57" s="14" t="s">
        <v>307</v>
      </c>
      <c r="C57" s="15" t="s">
        <v>308</v>
      </c>
      <c r="D57" s="26" t="s">
        <v>309</v>
      </c>
      <c r="E57" s="42" t="s">
        <v>310</v>
      </c>
      <c r="F57" s="42" t="s">
        <v>311</v>
      </c>
      <c r="G57" s="43" t="s">
        <v>339</v>
      </c>
      <c r="H57" s="15" t="s">
        <v>313</v>
      </c>
      <c r="I57" s="20" t="n">
        <f aca="false">J57+P57+V57+AB57+AG57</f>
        <v>13833.904</v>
      </c>
      <c r="J57" s="20" t="n">
        <f aca="false">SUM(K57:O57)</f>
        <v>13833.904</v>
      </c>
      <c r="K57" s="20"/>
      <c r="L57" s="44" t="n">
        <f aca="false">223.641+13610.263</f>
        <v>13833.904</v>
      </c>
      <c r="M57" s="20"/>
      <c r="N57" s="20"/>
      <c r="O57" s="20"/>
      <c r="P57" s="21" t="n">
        <f aca="false">SUM(Q57:U57)</f>
        <v>0</v>
      </c>
      <c r="Q57" s="20"/>
      <c r="R57" s="20"/>
      <c r="S57" s="20"/>
      <c r="T57" s="20"/>
      <c r="U57" s="20"/>
      <c r="V57" s="21" t="n">
        <f aca="false">SUM(W57:AA57)</f>
        <v>0</v>
      </c>
      <c r="W57" s="20"/>
      <c r="X57" s="20"/>
      <c r="Y57" s="20"/>
      <c r="Z57" s="20"/>
      <c r="AA57" s="20"/>
      <c r="AB57" s="21" t="n">
        <f aca="false">SUM(AC57:AF57)</f>
        <v>0</v>
      </c>
      <c r="AC57" s="20"/>
      <c r="AD57" s="20"/>
      <c r="AE57" s="20"/>
      <c r="AF57" s="20"/>
      <c r="AG57" s="20" t="n">
        <f aca="false">SUM(AH57:AK57)</f>
        <v>0</v>
      </c>
      <c r="AH57" s="20"/>
      <c r="AI57" s="20"/>
      <c r="AJ57" s="20"/>
      <c r="AK57" s="20"/>
      <c r="AL57" s="26" t="s">
        <v>314</v>
      </c>
      <c r="AM57" s="26"/>
      <c r="AN57" s="26" t="s">
        <v>25</v>
      </c>
      <c r="AO57" s="26" t="s">
        <v>340</v>
      </c>
      <c r="AP57" s="26" t="s">
        <v>341</v>
      </c>
      <c r="AQ57" s="26" t="s">
        <v>316</v>
      </c>
      <c r="AR57" s="26" t="s">
        <v>317</v>
      </c>
      <c r="AS57" s="26" t="s">
        <v>316</v>
      </c>
      <c r="AT57" s="26" t="s">
        <v>316</v>
      </c>
      <c r="AU57" s="26"/>
      <c r="AV57" s="26" t="s">
        <v>53</v>
      </c>
      <c r="AW57" s="26" t="s">
        <v>342</v>
      </c>
      <c r="AX57" s="26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customFormat="false" ht="144" hidden="false" customHeight="true" outlineLevel="0" collapsed="false">
      <c r="A58" s="17" t="s">
        <v>343</v>
      </c>
      <c r="B58" s="14" t="s">
        <v>307</v>
      </c>
      <c r="C58" s="14" t="s">
        <v>308</v>
      </c>
      <c r="D58" s="26" t="s">
        <v>309</v>
      </c>
      <c r="E58" s="42" t="s">
        <v>310</v>
      </c>
      <c r="F58" s="42" t="s">
        <v>311</v>
      </c>
      <c r="G58" s="14" t="s">
        <v>344</v>
      </c>
      <c r="H58" s="14" t="s">
        <v>313</v>
      </c>
      <c r="I58" s="20" t="n">
        <f aca="false">J58+P58+V58+AB58+AG58</f>
        <v>282451.38002</v>
      </c>
      <c r="J58" s="20" t="n">
        <f aca="false">SUM(K58:O58)</f>
        <v>0</v>
      </c>
      <c r="K58" s="20" t="n">
        <f aca="false">103950-103950</f>
        <v>0</v>
      </c>
      <c r="L58" s="20" t="n">
        <f aca="false">6485.1754-5435.1754-1050</f>
        <v>0</v>
      </c>
      <c r="M58" s="20"/>
      <c r="N58" s="20"/>
      <c r="O58" s="20"/>
      <c r="P58" s="21" t="n">
        <f aca="false">SUM(Q58:U58)</f>
        <v>282451.38002</v>
      </c>
      <c r="Q58" s="20" t="n">
        <v>215600</v>
      </c>
      <c r="R58" s="20" t="n">
        <f aca="false">168967.54002-102116.16</f>
        <v>66851.38002</v>
      </c>
      <c r="S58" s="20"/>
      <c r="T58" s="20"/>
      <c r="U58" s="20"/>
      <c r="V58" s="21" t="n">
        <f aca="false">SUM(W58:AA58)</f>
        <v>0</v>
      </c>
      <c r="W58" s="20"/>
      <c r="X58" s="20"/>
      <c r="Y58" s="20"/>
      <c r="Z58" s="20"/>
      <c r="AA58" s="20"/>
      <c r="AB58" s="21" t="n">
        <f aca="false">SUM(AC58:AF58)</f>
        <v>0</v>
      </c>
      <c r="AC58" s="20"/>
      <c r="AD58" s="20"/>
      <c r="AE58" s="20"/>
      <c r="AF58" s="20"/>
      <c r="AG58" s="20" t="n">
        <f aca="false">SUM(AH58:AK58)</f>
        <v>0</v>
      </c>
      <c r="AH58" s="20"/>
      <c r="AI58" s="20"/>
      <c r="AJ58" s="20"/>
      <c r="AK58" s="20"/>
      <c r="AL58" s="14" t="s">
        <v>314</v>
      </c>
      <c r="AM58" s="14" t="s">
        <v>26</v>
      </c>
      <c r="AN58" s="14"/>
      <c r="AO58" s="14" t="s">
        <v>315</v>
      </c>
      <c r="AP58" s="14" t="s">
        <v>341</v>
      </c>
      <c r="AQ58" s="14" t="s">
        <v>316</v>
      </c>
      <c r="AR58" s="26" t="s">
        <v>317</v>
      </c>
      <c r="AS58" s="26" t="s">
        <v>316</v>
      </c>
      <c r="AT58" s="26" t="s">
        <v>316</v>
      </c>
      <c r="AU58" s="45"/>
      <c r="AV58" s="15" t="s">
        <v>53</v>
      </c>
      <c r="AW58" s="16" t="s">
        <v>63</v>
      </c>
      <c r="AX58" s="14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customFormat="false" ht="144.75" hidden="false" customHeight="true" outlineLevel="0" collapsed="false">
      <c r="A59" s="17" t="s">
        <v>345</v>
      </c>
      <c r="B59" s="14" t="s">
        <v>307</v>
      </c>
      <c r="C59" s="14" t="s">
        <v>308</v>
      </c>
      <c r="D59" s="26" t="s">
        <v>309</v>
      </c>
      <c r="E59" s="42" t="s">
        <v>310</v>
      </c>
      <c r="F59" s="42" t="s">
        <v>311</v>
      </c>
      <c r="G59" s="14" t="s">
        <v>346</v>
      </c>
      <c r="H59" s="14" t="s">
        <v>313</v>
      </c>
      <c r="I59" s="20" t="n">
        <f aca="false">J59+P59+V59+AB59+AG59</f>
        <v>459350.64477</v>
      </c>
      <c r="J59" s="20" t="n">
        <f aca="false">SUM(K59:O59)</f>
        <v>459350.64477</v>
      </c>
      <c r="K59" s="20" t="n">
        <f aca="false">0+341981.7+50000</f>
        <v>391981.7</v>
      </c>
      <c r="L59" s="20" t="n">
        <f aca="false">8082.42279+109286.5027-50000+0.01928</f>
        <v>67368.94477</v>
      </c>
      <c r="M59" s="20"/>
      <c r="N59" s="20"/>
      <c r="O59" s="20"/>
      <c r="P59" s="21" t="n">
        <f aca="false">SUM(Q59:U59)</f>
        <v>0</v>
      </c>
      <c r="Q59" s="20"/>
      <c r="R59" s="20"/>
      <c r="S59" s="20"/>
      <c r="T59" s="20"/>
      <c r="U59" s="20"/>
      <c r="V59" s="21" t="n">
        <f aca="false">SUM(W59:AA59)</f>
        <v>0</v>
      </c>
      <c r="W59" s="20"/>
      <c r="X59" s="20"/>
      <c r="Y59" s="20"/>
      <c r="Z59" s="20"/>
      <c r="AA59" s="20"/>
      <c r="AB59" s="21" t="n">
        <f aca="false">SUM(AC59:AF59)</f>
        <v>0</v>
      </c>
      <c r="AC59" s="20"/>
      <c r="AD59" s="20"/>
      <c r="AE59" s="20"/>
      <c r="AF59" s="20"/>
      <c r="AG59" s="20" t="n">
        <f aca="false">SUM(AH59:AK59)</f>
        <v>0</v>
      </c>
      <c r="AH59" s="20"/>
      <c r="AI59" s="20"/>
      <c r="AJ59" s="20"/>
      <c r="AK59" s="20"/>
      <c r="AL59" s="14" t="s">
        <v>314</v>
      </c>
      <c r="AM59" s="26" t="s">
        <v>25</v>
      </c>
      <c r="AN59" s="14"/>
      <c r="AO59" s="26" t="s">
        <v>315</v>
      </c>
      <c r="AP59" s="26" t="s">
        <v>347</v>
      </c>
      <c r="AQ59" s="26" t="s">
        <v>316</v>
      </c>
      <c r="AR59" s="26" t="s">
        <v>317</v>
      </c>
      <c r="AS59" s="26" t="s">
        <v>316</v>
      </c>
      <c r="AT59" s="26" t="s">
        <v>316</v>
      </c>
      <c r="AU59" s="34" t="s">
        <v>348</v>
      </c>
      <c r="AV59" s="26" t="s">
        <v>53</v>
      </c>
      <c r="AW59" s="29" t="s">
        <v>319</v>
      </c>
      <c r="AX59" s="26" t="s">
        <v>349</v>
      </c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customFormat="false" ht="89.25" hidden="false" customHeight="false" outlineLevel="0" collapsed="false">
      <c r="A60" s="17" t="s">
        <v>350</v>
      </c>
      <c r="B60" s="14" t="s">
        <v>307</v>
      </c>
      <c r="C60" s="14" t="s">
        <v>308</v>
      </c>
      <c r="D60" s="26" t="s">
        <v>309</v>
      </c>
      <c r="E60" s="42" t="s">
        <v>310</v>
      </c>
      <c r="F60" s="42" t="s">
        <v>311</v>
      </c>
      <c r="G60" s="14" t="s">
        <v>351</v>
      </c>
      <c r="H60" s="14" t="s">
        <v>313</v>
      </c>
      <c r="I60" s="20" t="n">
        <f aca="false">J60+P60+V60+AB60+AG60</f>
        <v>122825.77509</v>
      </c>
      <c r="J60" s="20" t="n">
        <f aca="false">SUM(K60:O60)</f>
        <v>0</v>
      </c>
      <c r="K60" s="20" t="n">
        <f aca="false">0+43302.6-43302.6</f>
        <v>0</v>
      </c>
      <c r="L60" s="20" t="n">
        <f aca="false">0+437.4-437.4</f>
        <v>0</v>
      </c>
      <c r="M60" s="20"/>
      <c r="N60" s="20"/>
      <c r="O60" s="20"/>
      <c r="P60" s="21" t="n">
        <f aca="false">SUM(Q60:U60)</f>
        <v>122825.77509</v>
      </c>
      <c r="Q60" s="20" t="n">
        <f aca="false">0+89812</f>
        <v>89812</v>
      </c>
      <c r="R60" s="20" t="n">
        <f aca="false">318000-284986.22491</f>
        <v>33013.77509</v>
      </c>
      <c r="S60" s="20"/>
      <c r="T60" s="20"/>
      <c r="U60" s="20"/>
      <c r="V60" s="21" t="n">
        <f aca="false">SUM(W60:AA60)</f>
        <v>0</v>
      </c>
      <c r="W60" s="20"/>
      <c r="X60" s="20"/>
      <c r="Y60" s="20"/>
      <c r="Z60" s="20"/>
      <c r="AA60" s="20"/>
      <c r="AB60" s="21" t="n">
        <f aca="false">SUM(AC60:AF60)</f>
        <v>0</v>
      </c>
      <c r="AC60" s="20"/>
      <c r="AD60" s="20"/>
      <c r="AE60" s="20"/>
      <c r="AF60" s="20"/>
      <c r="AG60" s="20" t="n">
        <f aca="false">SUM(AH60:AK60)</f>
        <v>0</v>
      </c>
      <c r="AH60" s="20"/>
      <c r="AI60" s="20"/>
      <c r="AJ60" s="20"/>
      <c r="AK60" s="20"/>
      <c r="AL60" s="26" t="s">
        <v>314</v>
      </c>
      <c r="AM60" s="26" t="s">
        <v>26</v>
      </c>
      <c r="AN60" s="26"/>
      <c r="AO60" s="26" t="s">
        <v>315</v>
      </c>
      <c r="AP60" s="26" t="s">
        <v>341</v>
      </c>
      <c r="AQ60" s="26" t="s">
        <v>316</v>
      </c>
      <c r="AR60" s="26" t="s">
        <v>317</v>
      </c>
      <c r="AS60" s="26" t="s">
        <v>316</v>
      </c>
      <c r="AT60" s="26" t="s">
        <v>316</v>
      </c>
      <c r="AU60" s="35"/>
      <c r="AV60" s="26" t="s">
        <v>53</v>
      </c>
      <c r="AW60" s="29" t="s">
        <v>63</v>
      </c>
      <c r="AX60" s="26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customFormat="false" ht="120" hidden="false" customHeight="true" outlineLevel="0" collapsed="false">
      <c r="A61" s="17" t="s">
        <v>352</v>
      </c>
      <c r="B61" s="14" t="s">
        <v>307</v>
      </c>
      <c r="C61" s="14" t="s">
        <v>308</v>
      </c>
      <c r="D61" s="26" t="s">
        <v>309</v>
      </c>
      <c r="E61" s="42" t="s">
        <v>310</v>
      </c>
      <c r="F61" s="42" t="s">
        <v>311</v>
      </c>
      <c r="G61" s="14" t="s">
        <v>353</v>
      </c>
      <c r="H61" s="14" t="s">
        <v>313</v>
      </c>
      <c r="I61" s="20" t="n">
        <f aca="false">J61+P61+V61+AB61+AG61</f>
        <v>463283.66422</v>
      </c>
      <c r="J61" s="20" t="n">
        <f aca="false">SUM(K61:O61)</f>
        <v>0</v>
      </c>
      <c r="K61" s="20"/>
      <c r="L61" s="20" t="n">
        <f aca="false">327168-327168</f>
        <v>0</v>
      </c>
      <c r="M61" s="20"/>
      <c r="N61" s="20"/>
      <c r="O61" s="20"/>
      <c r="P61" s="21" t="n">
        <f aca="false">SUM(Q61:U61)</f>
        <v>0</v>
      </c>
      <c r="Q61" s="20"/>
      <c r="R61" s="20" t="n">
        <f aca="false">763392-58269.07917-46531.49688-8854.05975-649737.3642</f>
        <v>0</v>
      </c>
      <c r="S61" s="20" t="n">
        <f aca="false">0+180.69511-180.69511</f>
        <v>0</v>
      </c>
      <c r="T61" s="20"/>
      <c r="U61" s="20"/>
      <c r="V61" s="21" t="n">
        <f aca="false">SUM(W61:AA61)</f>
        <v>463283.66422</v>
      </c>
      <c r="W61" s="20"/>
      <c r="X61" s="20" t="n">
        <f aca="false">780895.58699-121390.47-196111.015-110.43777</f>
        <v>463283.66422</v>
      </c>
      <c r="Y61" s="20"/>
      <c r="Z61" s="20"/>
      <c r="AA61" s="20"/>
      <c r="AB61" s="21" t="n">
        <f aca="false">SUM(AC61:AF61)</f>
        <v>0</v>
      </c>
      <c r="AC61" s="20"/>
      <c r="AD61" s="20"/>
      <c r="AE61" s="20"/>
      <c r="AF61" s="20"/>
      <c r="AG61" s="20" t="n">
        <f aca="false">SUM(AH61:AK61)</f>
        <v>0</v>
      </c>
      <c r="AH61" s="20"/>
      <c r="AI61" s="20"/>
      <c r="AJ61" s="20"/>
      <c r="AK61" s="20"/>
      <c r="AL61" s="14" t="s">
        <v>314</v>
      </c>
      <c r="AM61" s="26" t="s">
        <v>27</v>
      </c>
      <c r="AN61" s="14"/>
      <c r="AO61" s="26" t="s">
        <v>315</v>
      </c>
      <c r="AP61" s="26" t="s">
        <v>354</v>
      </c>
      <c r="AQ61" s="26" t="s">
        <v>316</v>
      </c>
      <c r="AR61" s="26" t="s">
        <v>317</v>
      </c>
      <c r="AS61" s="26" t="s">
        <v>316</v>
      </c>
      <c r="AT61" s="26" t="s">
        <v>316</v>
      </c>
      <c r="AU61" s="35"/>
      <c r="AV61" s="26" t="s">
        <v>53</v>
      </c>
      <c r="AW61" s="29" t="s">
        <v>63</v>
      </c>
      <c r="AX61" s="26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customFormat="false" ht="120.75" hidden="false" customHeight="true" outlineLevel="0" collapsed="false">
      <c r="A62" s="17" t="s">
        <v>355</v>
      </c>
      <c r="B62" s="14" t="s">
        <v>307</v>
      </c>
      <c r="C62" s="14" t="s">
        <v>308</v>
      </c>
      <c r="D62" s="26" t="s">
        <v>309</v>
      </c>
      <c r="E62" s="29" t="s">
        <v>310</v>
      </c>
      <c r="F62" s="42" t="s">
        <v>311</v>
      </c>
      <c r="G62" s="14" t="s">
        <v>356</v>
      </c>
      <c r="H62" s="14" t="s">
        <v>250</v>
      </c>
      <c r="I62" s="20" t="n">
        <f aca="false">J62+P62+V62+AB62+AG62</f>
        <v>38500</v>
      </c>
      <c r="J62" s="20" t="n">
        <f aca="false">SUM(K62:O62)</f>
        <v>38500</v>
      </c>
      <c r="K62" s="20"/>
      <c r="L62" s="20" t="n">
        <v>38423</v>
      </c>
      <c r="M62" s="20" t="n">
        <v>77</v>
      </c>
      <c r="N62" s="20"/>
      <c r="O62" s="20"/>
      <c r="P62" s="21" t="n">
        <f aca="false">SUM(Q62:U62)</f>
        <v>0</v>
      </c>
      <c r="Q62" s="20"/>
      <c r="R62" s="20"/>
      <c r="S62" s="20"/>
      <c r="T62" s="20"/>
      <c r="U62" s="20"/>
      <c r="V62" s="21" t="n">
        <f aca="false">SUM(W62:AA62)</f>
        <v>0</v>
      </c>
      <c r="W62" s="20"/>
      <c r="X62" s="20"/>
      <c r="Y62" s="20"/>
      <c r="Z62" s="20"/>
      <c r="AA62" s="20"/>
      <c r="AB62" s="21" t="n">
        <f aca="false">SUM(AC62:AF62)</f>
        <v>0</v>
      </c>
      <c r="AC62" s="20"/>
      <c r="AD62" s="20"/>
      <c r="AE62" s="20"/>
      <c r="AF62" s="20"/>
      <c r="AG62" s="20" t="n">
        <f aca="false">SUM(AH62:AK62)</f>
        <v>0</v>
      </c>
      <c r="AH62" s="20"/>
      <c r="AI62" s="20"/>
      <c r="AJ62" s="20"/>
      <c r="AK62" s="20"/>
      <c r="AL62" s="26" t="s">
        <v>314</v>
      </c>
      <c r="AM62" s="26"/>
      <c r="AN62" s="26" t="s">
        <v>25</v>
      </c>
      <c r="AO62" s="29" t="s">
        <v>155</v>
      </c>
      <c r="AP62" s="26"/>
      <c r="AQ62" s="26" t="s">
        <v>250</v>
      </c>
      <c r="AR62" s="26" t="s">
        <v>317</v>
      </c>
      <c r="AS62" s="26" t="s">
        <v>251</v>
      </c>
      <c r="AT62" s="26" t="s">
        <v>251</v>
      </c>
      <c r="AU62" s="26"/>
      <c r="AV62" s="26" t="s">
        <v>159</v>
      </c>
      <c r="AW62" s="29" t="s">
        <v>342</v>
      </c>
      <c r="AX62" s="29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customFormat="false" ht="89.25" hidden="false" customHeight="false" outlineLevel="0" collapsed="false">
      <c r="A63" s="17" t="s">
        <v>357</v>
      </c>
      <c r="B63" s="14" t="s">
        <v>307</v>
      </c>
      <c r="C63" s="15" t="s">
        <v>308</v>
      </c>
      <c r="D63" s="26" t="s">
        <v>309</v>
      </c>
      <c r="E63" s="29" t="s">
        <v>310</v>
      </c>
      <c r="F63" s="42" t="s">
        <v>311</v>
      </c>
      <c r="G63" s="43" t="s">
        <v>358</v>
      </c>
      <c r="H63" s="15" t="s">
        <v>117</v>
      </c>
      <c r="I63" s="20" t="n">
        <f aca="false">J63+P63+V63+AB63+AG63</f>
        <v>39008.89</v>
      </c>
      <c r="J63" s="20" t="n">
        <f aca="false">SUM(K63:O63)</f>
        <v>39008.89</v>
      </c>
      <c r="K63" s="20" t="n">
        <f aca="false">0+39008.89</f>
        <v>39008.89</v>
      </c>
      <c r="L63" s="44" t="n">
        <f aca="false">140344.4232-107836.35176-14500-18008.07144</f>
        <v>0</v>
      </c>
      <c r="M63" s="20"/>
      <c r="N63" s="20"/>
      <c r="O63" s="20"/>
      <c r="P63" s="21" t="n">
        <f aca="false">SUM(Q63:U63)</f>
        <v>0</v>
      </c>
      <c r="Q63" s="20"/>
      <c r="R63" s="20"/>
      <c r="S63" s="20"/>
      <c r="T63" s="20"/>
      <c r="U63" s="20"/>
      <c r="V63" s="21" t="n">
        <f aca="false">SUM(W63:AA63)</f>
        <v>0</v>
      </c>
      <c r="W63" s="20"/>
      <c r="X63" s="20"/>
      <c r="Y63" s="20"/>
      <c r="Z63" s="20"/>
      <c r="AA63" s="20"/>
      <c r="AB63" s="21" t="n">
        <f aca="false">SUM(AC63:AF63)</f>
        <v>0</v>
      </c>
      <c r="AC63" s="20"/>
      <c r="AD63" s="20"/>
      <c r="AE63" s="20"/>
      <c r="AF63" s="20"/>
      <c r="AG63" s="20" t="n">
        <f aca="false">SUM(AH63:AK63)</f>
        <v>0</v>
      </c>
      <c r="AH63" s="20"/>
      <c r="AI63" s="20"/>
      <c r="AJ63" s="20"/>
      <c r="AK63" s="20"/>
      <c r="AL63" s="26" t="s">
        <v>314</v>
      </c>
      <c r="AM63" s="26" t="s">
        <v>25</v>
      </c>
      <c r="AN63" s="26"/>
      <c r="AO63" s="26" t="s">
        <v>340</v>
      </c>
      <c r="AP63" s="26" t="s">
        <v>359</v>
      </c>
      <c r="AQ63" s="26" t="s">
        <v>316</v>
      </c>
      <c r="AR63" s="26" t="s">
        <v>317</v>
      </c>
      <c r="AS63" s="26" t="s">
        <v>316</v>
      </c>
      <c r="AT63" s="26" t="s">
        <v>316</v>
      </c>
      <c r="AU63" s="26" t="s">
        <v>360</v>
      </c>
      <c r="AV63" s="26" t="s">
        <v>53</v>
      </c>
      <c r="AW63" s="26" t="s">
        <v>54</v>
      </c>
      <c r="AX63" s="26" t="s">
        <v>361</v>
      </c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customFormat="false" ht="114.75" hidden="false" customHeight="true" outlineLevel="0" collapsed="false">
      <c r="A64" s="17" t="s">
        <v>362</v>
      </c>
      <c r="B64" s="14" t="s">
        <v>307</v>
      </c>
      <c r="C64" s="15" t="s">
        <v>308</v>
      </c>
      <c r="D64" s="26" t="s">
        <v>309</v>
      </c>
      <c r="E64" s="29" t="s">
        <v>310</v>
      </c>
      <c r="F64" s="42" t="s">
        <v>311</v>
      </c>
      <c r="G64" s="43" t="s">
        <v>363</v>
      </c>
      <c r="H64" s="15" t="s">
        <v>117</v>
      </c>
      <c r="I64" s="20" t="n">
        <f aca="false">J64+P64+V64+AB64+AG64</f>
        <v>3744</v>
      </c>
      <c r="J64" s="20" t="n">
        <f aca="false">SUM(K64:O64)</f>
        <v>3744</v>
      </c>
      <c r="K64" s="20"/>
      <c r="L64" s="44" t="n">
        <f aca="false">4639.42008-895.42008</f>
        <v>3744</v>
      </c>
      <c r="M64" s="20"/>
      <c r="N64" s="20"/>
      <c r="O64" s="20"/>
      <c r="P64" s="21" t="n">
        <f aca="false">SUM(Q64:U64)</f>
        <v>0</v>
      </c>
      <c r="Q64" s="20"/>
      <c r="R64" s="20"/>
      <c r="S64" s="20"/>
      <c r="T64" s="20"/>
      <c r="U64" s="20"/>
      <c r="V64" s="21" t="n">
        <f aca="false">SUM(W64:AA64)</f>
        <v>0</v>
      </c>
      <c r="W64" s="20"/>
      <c r="X64" s="20"/>
      <c r="Y64" s="20"/>
      <c r="Z64" s="20"/>
      <c r="AA64" s="20"/>
      <c r="AB64" s="21" t="n">
        <f aca="false">SUM(AC64:AF64)</f>
        <v>0</v>
      </c>
      <c r="AC64" s="20"/>
      <c r="AD64" s="20"/>
      <c r="AE64" s="20"/>
      <c r="AF64" s="20"/>
      <c r="AG64" s="20" t="n">
        <f aca="false">SUM(AH64:AK64)</f>
        <v>0</v>
      </c>
      <c r="AH64" s="20"/>
      <c r="AI64" s="20"/>
      <c r="AJ64" s="20"/>
      <c r="AK64" s="20"/>
      <c r="AL64" s="26" t="s">
        <v>314</v>
      </c>
      <c r="AM64" s="26" t="s">
        <v>28</v>
      </c>
      <c r="AN64" s="26" t="s">
        <v>25</v>
      </c>
      <c r="AO64" s="26" t="s">
        <v>340</v>
      </c>
      <c r="AP64" s="26" t="s">
        <v>364</v>
      </c>
      <c r="AQ64" s="26" t="s">
        <v>316</v>
      </c>
      <c r="AR64" s="26" t="s">
        <v>317</v>
      </c>
      <c r="AS64" s="26" t="s">
        <v>316</v>
      </c>
      <c r="AT64" s="26" t="s">
        <v>316</v>
      </c>
      <c r="AU64" s="26"/>
      <c r="AV64" s="26" t="s">
        <v>53</v>
      </c>
      <c r="AW64" s="26" t="s">
        <v>342</v>
      </c>
      <c r="AX64" s="26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customFormat="false" ht="118.5" hidden="false" customHeight="true" outlineLevel="0" collapsed="false">
      <c r="A65" s="17" t="s">
        <v>365</v>
      </c>
      <c r="B65" s="14" t="s">
        <v>307</v>
      </c>
      <c r="C65" s="15" t="s">
        <v>308</v>
      </c>
      <c r="D65" s="26" t="s">
        <v>309</v>
      </c>
      <c r="E65" s="29" t="s">
        <v>310</v>
      </c>
      <c r="F65" s="42" t="s">
        <v>311</v>
      </c>
      <c r="G65" s="43" t="s">
        <v>366</v>
      </c>
      <c r="H65" s="15" t="s">
        <v>117</v>
      </c>
      <c r="I65" s="20" t="n">
        <f aca="false">J65+P65+V65+AB65+AG65</f>
        <v>15238.4</v>
      </c>
      <c r="J65" s="20" t="n">
        <f aca="false">SUM(K65:O65)</f>
        <v>15238.4</v>
      </c>
      <c r="K65" s="20" t="n">
        <f aca="false">341981.7-341981.7</f>
        <v>0</v>
      </c>
      <c r="L65" s="44" t="n">
        <f aca="false">15238.3+0.1</f>
        <v>15238.4</v>
      </c>
      <c r="M65" s="20"/>
      <c r="N65" s="20"/>
      <c r="O65" s="20"/>
      <c r="P65" s="21" t="n">
        <f aca="false">SUM(Q65:U65)</f>
        <v>0</v>
      </c>
      <c r="Q65" s="20"/>
      <c r="R65" s="20"/>
      <c r="S65" s="20"/>
      <c r="T65" s="20"/>
      <c r="U65" s="20"/>
      <c r="V65" s="21" t="n">
        <f aca="false">SUM(W65:AA65)</f>
        <v>0</v>
      </c>
      <c r="W65" s="20"/>
      <c r="X65" s="20"/>
      <c r="Y65" s="20"/>
      <c r="Z65" s="20"/>
      <c r="AA65" s="20"/>
      <c r="AB65" s="21" t="n">
        <f aca="false">SUM(AC65:AF65)</f>
        <v>0</v>
      </c>
      <c r="AC65" s="20"/>
      <c r="AD65" s="20"/>
      <c r="AE65" s="20"/>
      <c r="AF65" s="20"/>
      <c r="AG65" s="20" t="n">
        <f aca="false">SUM(AH65:AK65)</f>
        <v>0</v>
      </c>
      <c r="AH65" s="20"/>
      <c r="AI65" s="20"/>
      <c r="AJ65" s="20"/>
      <c r="AK65" s="20"/>
      <c r="AL65" s="26" t="s">
        <v>314</v>
      </c>
      <c r="AM65" s="26" t="s">
        <v>28</v>
      </c>
      <c r="AN65" s="26" t="s">
        <v>25</v>
      </c>
      <c r="AO65" s="26" t="s">
        <v>340</v>
      </c>
      <c r="AP65" s="26" t="s">
        <v>367</v>
      </c>
      <c r="AQ65" s="26" t="s">
        <v>316</v>
      </c>
      <c r="AR65" s="26" t="s">
        <v>317</v>
      </c>
      <c r="AS65" s="26" t="s">
        <v>316</v>
      </c>
      <c r="AT65" s="26" t="s">
        <v>316</v>
      </c>
      <c r="AU65" s="26"/>
      <c r="AV65" s="26" t="s">
        <v>53</v>
      </c>
      <c r="AW65" s="26" t="s">
        <v>342</v>
      </c>
      <c r="AX65" s="26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customFormat="false" ht="118.5" hidden="false" customHeight="true" outlineLevel="0" collapsed="false">
      <c r="A66" s="17" t="s">
        <v>368</v>
      </c>
      <c r="B66" s="14" t="s">
        <v>307</v>
      </c>
      <c r="C66" s="18" t="s">
        <v>41</v>
      </c>
      <c r="D66" s="22" t="s">
        <v>309</v>
      </c>
      <c r="E66" s="19" t="s">
        <v>310</v>
      </c>
      <c r="F66" s="18" t="s">
        <v>369</v>
      </c>
      <c r="G66" s="18" t="s">
        <v>370</v>
      </c>
      <c r="H66" s="18" t="s">
        <v>371</v>
      </c>
      <c r="I66" s="20" t="n">
        <f aca="false">J66+P66+V66+AB66+AG66</f>
        <v>128635.39444</v>
      </c>
      <c r="J66" s="20" t="n">
        <f aca="false">SUM(K66:O66)</f>
        <v>128635.39444</v>
      </c>
      <c r="K66" s="21"/>
      <c r="L66" s="21" t="n">
        <f aca="false">30000+99000-1045.6261-29.09365+149.09365+561.02054</f>
        <v>128635.39444</v>
      </c>
      <c r="M66" s="21"/>
      <c r="N66" s="21"/>
      <c r="O66" s="21"/>
      <c r="P66" s="21" t="n">
        <f aca="false">SUM(Q66:U66)</f>
        <v>0</v>
      </c>
      <c r="Q66" s="21"/>
      <c r="R66" s="21" t="n">
        <f aca="false">188278.55-188278.55</f>
        <v>0</v>
      </c>
      <c r="S66" s="21"/>
      <c r="T66" s="21"/>
      <c r="U66" s="21"/>
      <c r="V66" s="21" t="n">
        <f aca="false">SUM(W66:AA66)</f>
        <v>0</v>
      </c>
      <c r="W66" s="21"/>
      <c r="X66" s="21"/>
      <c r="Y66" s="21"/>
      <c r="Z66" s="21"/>
      <c r="AA66" s="21"/>
      <c r="AB66" s="21" t="n">
        <f aca="false">SUM(AC66:AF66)</f>
        <v>0</v>
      </c>
      <c r="AC66" s="21"/>
      <c r="AD66" s="21"/>
      <c r="AE66" s="21"/>
      <c r="AF66" s="21"/>
      <c r="AG66" s="20" t="n">
        <f aca="false">SUM(AH66:AK66)</f>
        <v>0</v>
      </c>
      <c r="AH66" s="21"/>
      <c r="AI66" s="21"/>
      <c r="AJ66" s="21"/>
      <c r="AK66" s="21"/>
      <c r="AL66" s="22" t="s">
        <v>314</v>
      </c>
      <c r="AM66" s="22" t="s">
        <v>25</v>
      </c>
      <c r="AN66" s="22"/>
      <c r="AO66" s="22" t="s">
        <v>48</v>
      </c>
      <c r="AP66" s="22" t="s">
        <v>372</v>
      </c>
      <c r="AQ66" s="22" t="s">
        <v>50</v>
      </c>
      <c r="AR66" s="22" t="s">
        <v>308</v>
      </c>
      <c r="AS66" s="22" t="s">
        <v>41</v>
      </c>
      <c r="AT66" s="22" t="s">
        <v>50</v>
      </c>
      <c r="AU66" s="22" t="s">
        <v>373</v>
      </c>
      <c r="AV66" s="15" t="s">
        <v>53</v>
      </c>
      <c r="AW66" s="22" t="s">
        <v>54</v>
      </c>
      <c r="AX66" s="22" t="s">
        <v>374</v>
      </c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customFormat="false" ht="99.75" hidden="false" customHeight="true" outlineLevel="0" collapsed="false">
      <c r="A67" s="17" t="s">
        <v>375</v>
      </c>
      <c r="B67" s="14" t="s">
        <v>307</v>
      </c>
      <c r="C67" s="15" t="s">
        <v>308</v>
      </c>
      <c r="D67" s="26" t="s">
        <v>376</v>
      </c>
      <c r="E67" s="42" t="s">
        <v>310</v>
      </c>
      <c r="F67" s="42" t="s">
        <v>311</v>
      </c>
      <c r="G67" s="15" t="s">
        <v>377</v>
      </c>
      <c r="H67" s="15" t="s">
        <v>117</v>
      </c>
      <c r="I67" s="46" t="n">
        <f aca="false">SUM(J67+P67+V67+AB67+AG67)</f>
        <v>1075292.575</v>
      </c>
      <c r="J67" s="46" t="n">
        <f aca="false">SUM(K67:O67)</f>
        <v>282077.53</v>
      </c>
      <c r="K67" s="46" t="n">
        <v>185985</v>
      </c>
      <c r="L67" s="46" t="n">
        <v>96092.53</v>
      </c>
      <c r="M67" s="46"/>
      <c r="N67" s="46"/>
      <c r="O67" s="46"/>
      <c r="P67" s="46" t="n">
        <f aca="false">SUM(Q67:U67)</f>
        <v>260239.66</v>
      </c>
      <c r="Q67" s="46" t="n">
        <f aca="false">197643.6-39520.1</f>
        <v>158123.5</v>
      </c>
      <c r="R67" s="46" t="n">
        <v>102116.16</v>
      </c>
      <c r="S67" s="46"/>
      <c r="T67" s="46"/>
      <c r="U67" s="46"/>
      <c r="V67" s="46" t="n">
        <f aca="false">SUM(W67:AA67)</f>
        <v>532975.385</v>
      </c>
      <c r="W67" s="46" t="n">
        <f aca="false">234948.6-19474.7</f>
        <v>215473.9</v>
      </c>
      <c r="X67" s="46" t="n">
        <f aca="false">121390.47+196111.015</f>
        <v>317501.485</v>
      </c>
      <c r="Y67" s="46"/>
      <c r="Z67" s="46"/>
      <c r="AA67" s="46"/>
      <c r="AB67" s="46" t="n">
        <f aca="false">SUM(AC67:AF67)</f>
        <v>0</v>
      </c>
      <c r="AC67" s="46"/>
      <c r="AD67" s="46"/>
      <c r="AE67" s="46"/>
      <c r="AF67" s="46"/>
      <c r="AG67" s="46" t="n">
        <f aca="false">SUM(AH67:AK67)</f>
        <v>0</v>
      </c>
      <c r="AH67" s="46"/>
      <c r="AI67" s="46"/>
      <c r="AJ67" s="46"/>
      <c r="AK67" s="46"/>
      <c r="AL67" s="26" t="s">
        <v>378</v>
      </c>
      <c r="AM67" s="15" t="s">
        <v>27</v>
      </c>
      <c r="AN67" s="15" t="s">
        <v>379</v>
      </c>
      <c r="AO67" s="15" t="s">
        <v>340</v>
      </c>
      <c r="AP67" s="15" t="s">
        <v>380</v>
      </c>
      <c r="AQ67" s="26" t="s">
        <v>316</v>
      </c>
      <c r="AR67" s="22" t="s">
        <v>308</v>
      </c>
      <c r="AS67" s="26" t="s">
        <v>316</v>
      </c>
      <c r="AT67" s="26" t="s">
        <v>316</v>
      </c>
      <c r="AU67" s="45" t="s">
        <v>381</v>
      </c>
      <c r="AV67" s="15" t="s">
        <v>130</v>
      </c>
      <c r="AW67" s="15" t="s">
        <v>63</v>
      </c>
      <c r="AX67" s="15" t="s">
        <v>382</v>
      </c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customFormat="false" ht="103.5" hidden="false" customHeight="true" outlineLevel="0" collapsed="false">
      <c r="A68" s="17" t="s">
        <v>383</v>
      </c>
      <c r="B68" s="14" t="s">
        <v>307</v>
      </c>
      <c r="C68" s="15" t="s">
        <v>308</v>
      </c>
      <c r="D68" s="26" t="s">
        <v>309</v>
      </c>
      <c r="E68" s="42" t="s">
        <v>310</v>
      </c>
      <c r="F68" s="42" t="s">
        <v>311</v>
      </c>
      <c r="G68" s="15" t="s">
        <v>384</v>
      </c>
      <c r="H68" s="15" t="s">
        <v>178</v>
      </c>
      <c r="I68" s="46" t="n">
        <f aca="false">SUM(J68+P68+V68+AB68+AG68)</f>
        <v>14649.167</v>
      </c>
      <c r="J68" s="46" t="n">
        <f aca="false">SUM(K68:O68)</f>
        <v>14649.167</v>
      </c>
      <c r="K68" s="46"/>
      <c r="L68" s="46" t="n">
        <v>14649.167</v>
      </c>
      <c r="M68" s="46"/>
      <c r="N68" s="46"/>
      <c r="O68" s="46"/>
      <c r="P68" s="46" t="n">
        <f aca="false">SUM(Q68:U68)</f>
        <v>0</v>
      </c>
      <c r="Q68" s="46"/>
      <c r="R68" s="46"/>
      <c r="S68" s="46"/>
      <c r="T68" s="46"/>
      <c r="U68" s="46"/>
      <c r="V68" s="46" t="n">
        <f aca="false">SUM(W68:AA68)</f>
        <v>0</v>
      </c>
      <c r="W68" s="46"/>
      <c r="X68" s="46"/>
      <c r="Y68" s="46"/>
      <c r="Z68" s="46"/>
      <c r="AA68" s="46"/>
      <c r="AB68" s="46" t="n">
        <f aca="false">SUM(AC68:AF68)</f>
        <v>0</v>
      </c>
      <c r="AC68" s="46"/>
      <c r="AD68" s="46"/>
      <c r="AE68" s="46"/>
      <c r="AF68" s="46"/>
      <c r="AG68" s="46" t="n">
        <f aca="false">SUM(AH68:AK68)</f>
        <v>0</v>
      </c>
      <c r="AH68" s="46"/>
      <c r="AI68" s="46"/>
      <c r="AJ68" s="46"/>
      <c r="AK68" s="46"/>
      <c r="AL68" s="26" t="s">
        <v>314</v>
      </c>
      <c r="AM68" s="15"/>
      <c r="AN68" s="15" t="s">
        <v>25</v>
      </c>
      <c r="AO68" s="15" t="s">
        <v>340</v>
      </c>
      <c r="AP68" s="15" t="s">
        <v>385</v>
      </c>
      <c r="AQ68" s="26" t="s">
        <v>316</v>
      </c>
      <c r="AR68" s="22" t="s">
        <v>308</v>
      </c>
      <c r="AS68" s="26" t="s">
        <v>316</v>
      </c>
      <c r="AT68" s="26" t="s">
        <v>316</v>
      </c>
      <c r="AU68" s="45" t="s">
        <v>386</v>
      </c>
      <c r="AV68" s="15" t="s">
        <v>130</v>
      </c>
      <c r="AW68" s="15" t="s">
        <v>387</v>
      </c>
      <c r="AX68" s="15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customFormat="false" ht="103.5" hidden="false" customHeight="true" outlineLevel="0" collapsed="false">
      <c r="A69" s="17" t="s">
        <v>388</v>
      </c>
      <c r="B69" s="14" t="s">
        <v>307</v>
      </c>
      <c r="C69" s="15" t="s">
        <v>308</v>
      </c>
      <c r="D69" s="26" t="s">
        <v>309</v>
      </c>
      <c r="E69" s="42" t="s">
        <v>310</v>
      </c>
      <c r="F69" s="42" t="s">
        <v>311</v>
      </c>
      <c r="G69" s="15" t="s">
        <v>389</v>
      </c>
      <c r="H69" s="15" t="s">
        <v>178</v>
      </c>
      <c r="I69" s="46" t="n">
        <f aca="false">SUM(J69+P69+V69+AB69+AG69)</f>
        <v>80933.327</v>
      </c>
      <c r="J69" s="46" t="n">
        <f aca="false">SUM(K69:O69)</f>
        <v>80933.327</v>
      </c>
      <c r="K69" s="46"/>
      <c r="L69" s="46" t="n">
        <f aca="false">80933.3+0.027</f>
        <v>80933.327</v>
      </c>
      <c r="M69" s="46"/>
      <c r="N69" s="46"/>
      <c r="O69" s="46"/>
      <c r="P69" s="46" t="n">
        <f aca="false">SUM(Q69:U69)</f>
        <v>0</v>
      </c>
      <c r="Q69" s="46"/>
      <c r="R69" s="46"/>
      <c r="S69" s="46"/>
      <c r="T69" s="46"/>
      <c r="U69" s="46"/>
      <c r="V69" s="46" t="n">
        <f aca="false">SUM(W69:AA69)</f>
        <v>0</v>
      </c>
      <c r="W69" s="46"/>
      <c r="X69" s="46"/>
      <c r="Y69" s="46"/>
      <c r="Z69" s="46"/>
      <c r="AA69" s="46"/>
      <c r="AB69" s="46" t="n">
        <f aca="false">SUM(AC69:AF69)</f>
        <v>0</v>
      </c>
      <c r="AC69" s="46"/>
      <c r="AD69" s="46"/>
      <c r="AE69" s="46"/>
      <c r="AF69" s="46"/>
      <c r="AG69" s="46" t="n">
        <f aca="false">SUM(AH69:AK69)</f>
        <v>0</v>
      </c>
      <c r="AH69" s="46"/>
      <c r="AI69" s="46"/>
      <c r="AJ69" s="46"/>
      <c r="AK69" s="46"/>
      <c r="AL69" s="26" t="s">
        <v>314</v>
      </c>
      <c r="AM69" s="14" t="s">
        <v>25</v>
      </c>
      <c r="AN69" s="15" t="s">
        <v>208</v>
      </c>
      <c r="AO69" s="15" t="s">
        <v>340</v>
      </c>
      <c r="AP69" s="14" t="s">
        <v>390</v>
      </c>
      <c r="AQ69" s="26" t="s">
        <v>316</v>
      </c>
      <c r="AR69" s="22" t="s">
        <v>308</v>
      </c>
      <c r="AS69" s="26" t="s">
        <v>316</v>
      </c>
      <c r="AT69" s="26" t="s">
        <v>316</v>
      </c>
      <c r="AU69" s="14" t="s">
        <v>391</v>
      </c>
      <c r="AV69" s="15" t="s">
        <v>130</v>
      </c>
      <c r="AW69" s="15" t="s">
        <v>319</v>
      </c>
      <c r="AX69" s="15" t="s">
        <v>392</v>
      </c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customFormat="false" ht="105" hidden="false" customHeight="true" outlineLevel="0" collapsed="false">
      <c r="A70" s="17" t="s">
        <v>393</v>
      </c>
      <c r="B70" s="14" t="s">
        <v>307</v>
      </c>
      <c r="C70" s="15" t="s">
        <v>308</v>
      </c>
      <c r="D70" s="26" t="s">
        <v>309</v>
      </c>
      <c r="E70" s="42" t="s">
        <v>310</v>
      </c>
      <c r="F70" s="42" t="s">
        <v>311</v>
      </c>
      <c r="G70" s="15" t="s">
        <v>394</v>
      </c>
      <c r="H70" s="15" t="s">
        <v>117</v>
      </c>
      <c r="I70" s="46" t="n">
        <f aca="false">SUM(J70+P70+V70+AB70+AG70)</f>
        <v>19732.8291</v>
      </c>
      <c r="J70" s="46" t="n">
        <f aca="false">SUM(K70:O70)</f>
        <v>19732.8291</v>
      </c>
      <c r="K70" s="46"/>
      <c r="L70" s="46" t="n">
        <v>19338.17252</v>
      </c>
      <c r="M70" s="46" t="n">
        <v>394.65658</v>
      </c>
      <c r="N70" s="46"/>
      <c r="O70" s="46"/>
      <c r="P70" s="46" t="n">
        <f aca="false">SUM(Q70:U70)</f>
        <v>0</v>
      </c>
      <c r="Q70" s="46"/>
      <c r="R70" s="46"/>
      <c r="S70" s="46"/>
      <c r="T70" s="46"/>
      <c r="U70" s="46"/>
      <c r="V70" s="46" t="n">
        <f aca="false">SUM(W70:AA70)</f>
        <v>0</v>
      </c>
      <c r="W70" s="46"/>
      <c r="X70" s="46"/>
      <c r="Y70" s="46"/>
      <c r="Z70" s="46"/>
      <c r="AA70" s="46"/>
      <c r="AB70" s="46" t="n">
        <f aca="false">SUM(AC70:AF70)</f>
        <v>0</v>
      </c>
      <c r="AC70" s="46"/>
      <c r="AD70" s="46"/>
      <c r="AE70" s="46"/>
      <c r="AF70" s="46"/>
      <c r="AG70" s="46" t="n">
        <f aca="false">SUM(AH70:AK70)</f>
        <v>0</v>
      </c>
      <c r="AH70" s="46"/>
      <c r="AI70" s="46"/>
      <c r="AJ70" s="46"/>
      <c r="AK70" s="46"/>
      <c r="AL70" s="26" t="s">
        <v>314</v>
      </c>
      <c r="AM70" s="14" t="s">
        <v>25</v>
      </c>
      <c r="AN70" s="15" t="s">
        <v>379</v>
      </c>
      <c r="AO70" s="15" t="s">
        <v>155</v>
      </c>
      <c r="AP70" s="15" t="s">
        <v>395</v>
      </c>
      <c r="AQ70" s="15" t="s">
        <v>117</v>
      </c>
      <c r="AR70" s="26" t="s">
        <v>317</v>
      </c>
      <c r="AS70" s="15" t="s">
        <v>157</v>
      </c>
      <c r="AT70" s="15" t="s">
        <v>396</v>
      </c>
      <c r="AU70" s="15" t="s">
        <v>397</v>
      </c>
      <c r="AV70" s="15" t="s">
        <v>159</v>
      </c>
      <c r="AW70" s="15" t="s">
        <v>319</v>
      </c>
      <c r="AX70" s="14" t="s">
        <v>398</v>
      </c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customFormat="false" ht="105.75" hidden="false" customHeight="true" outlineLevel="0" collapsed="false">
      <c r="A71" s="17" t="s">
        <v>399</v>
      </c>
      <c r="B71" s="14" t="s">
        <v>307</v>
      </c>
      <c r="C71" s="15" t="s">
        <v>308</v>
      </c>
      <c r="D71" s="26" t="s">
        <v>309</v>
      </c>
      <c r="E71" s="42" t="s">
        <v>310</v>
      </c>
      <c r="F71" s="42" t="s">
        <v>311</v>
      </c>
      <c r="G71" s="15" t="s">
        <v>400</v>
      </c>
      <c r="H71" s="14" t="s">
        <v>58</v>
      </c>
      <c r="I71" s="46" t="n">
        <f aca="false">SUM(J71+P71+V71+AB71+AG71)</f>
        <v>16281.48032</v>
      </c>
      <c r="J71" s="46" t="n">
        <f aca="false">SUM(K71:O71)</f>
        <v>16281.48032</v>
      </c>
      <c r="K71" s="46"/>
      <c r="L71" s="46" t="n">
        <v>16248.91736</v>
      </c>
      <c r="M71" s="46" t="n">
        <v>32.56296</v>
      </c>
      <c r="N71" s="46"/>
      <c r="O71" s="46"/>
      <c r="P71" s="46" t="n">
        <f aca="false">SUM(Q71:U71)</f>
        <v>0</v>
      </c>
      <c r="Q71" s="46"/>
      <c r="R71" s="46"/>
      <c r="S71" s="46"/>
      <c r="T71" s="46"/>
      <c r="U71" s="46"/>
      <c r="V71" s="46" t="n">
        <f aca="false">SUM(W71:AA71)</f>
        <v>0</v>
      </c>
      <c r="W71" s="46"/>
      <c r="X71" s="46"/>
      <c r="Y71" s="46"/>
      <c r="Z71" s="46"/>
      <c r="AA71" s="46"/>
      <c r="AB71" s="46" t="n">
        <f aca="false">SUM(AC71:AF71)</f>
        <v>0</v>
      </c>
      <c r="AC71" s="46"/>
      <c r="AD71" s="46"/>
      <c r="AE71" s="46"/>
      <c r="AF71" s="46"/>
      <c r="AG71" s="46" t="n">
        <f aca="false">SUM(AH71:AK71)</f>
        <v>0</v>
      </c>
      <c r="AH71" s="46"/>
      <c r="AI71" s="46"/>
      <c r="AJ71" s="46"/>
      <c r="AK71" s="46"/>
      <c r="AL71" s="26" t="s">
        <v>314</v>
      </c>
      <c r="AM71" s="14" t="s">
        <v>25</v>
      </c>
      <c r="AN71" s="14" t="s">
        <v>379</v>
      </c>
      <c r="AO71" s="14" t="s">
        <v>401</v>
      </c>
      <c r="AP71" s="14" t="s">
        <v>402</v>
      </c>
      <c r="AQ71" s="15" t="s">
        <v>58</v>
      </c>
      <c r="AR71" s="26" t="s">
        <v>317</v>
      </c>
      <c r="AS71" s="15" t="s">
        <v>260</v>
      </c>
      <c r="AT71" s="15" t="s">
        <v>260</v>
      </c>
      <c r="AU71" s="14" t="s">
        <v>403</v>
      </c>
      <c r="AV71" s="14" t="s">
        <v>159</v>
      </c>
      <c r="AW71" s="15" t="s">
        <v>54</v>
      </c>
      <c r="AX71" s="14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customFormat="false" ht="105.75" hidden="false" customHeight="true" outlineLevel="0" collapsed="false">
      <c r="A72" s="17" t="s">
        <v>404</v>
      </c>
      <c r="B72" s="14" t="s">
        <v>307</v>
      </c>
      <c r="C72" s="26" t="s">
        <v>308</v>
      </c>
      <c r="D72" s="26" t="s">
        <v>322</v>
      </c>
      <c r="E72" s="42" t="s">
        <v>310</v>
      </c>
      <c r="F72" s="42" t="s">
        <v>311</v>
      </c>
      <c r="G72" s="26" t="s">
        <v>405</v>
      </c>
      <c r="H72" s="26" t="s">
        <v>270</v>
      </c>
      <c r="I72" s="27" t="n">
        <f aca="false">SUM(J72+P72+V72+AB72+AG72)</f>
        <v>42570.43392</v>
      </c>
      <c r="J72" s="27" t="n">
        <f aca="false">SUM(K72:O72)</f>
        <v>12771.13017</v>
      </c>
      <c r="K72" s="27"/>
      <c r="L72" s="27" t="n">
        <f aca="false">0+41719.02524-29203.31767-12515.70757+12515.70757</f>
        <v>12515.70757</v>
      </c>
      <c r="M72" s="27" t="n">
        <f aca="false">851.40868-595.98608-255.4226+255.4226</f>
        <v>255.4226</v>
      </c>
      <c r="N72" s="27"/>
      <c r="O72" s="27"/>
      <c r="P72" s="27" t="n">
        <f aca="false">SUM(Q72:U72)</f>
        <v>29799.30375</v>
      </c>
      <c r="Q72" s="27"/>
      <c r="R72" s="27" t="n">
        <f aca="false">0+29203.31767</f>
        <v>29203.31767</v>
      </c>
      <c r="S72" s="27" t="n">
        <f aca="false">0+595.98608</f>
        <v>595.98608</v>
      </c>
      <c r="T72" s="27"/>
      <c r="U72" s="27"/>
      <c r="V72" s="27" t="n">
        <f aca="false">SUM(W72:AA72)</f>
        <v>0</v>
      </c>
      <c r="W72" s="27"/>
      <c r="X72" s="27"/>
      <c r="Y72" s="27"/>
      <c r="Z72" s="27"/>
      <c r="AA72" s="27"/>
      <c r="AB72" s="27" t="n">
        <f aca="false">SUM(AC72:AF72)</f>
        <v>0</v>
      </c>
      <c r="AC72" s="27"/>
      <c r="AD72" s="27"/>
      <c r="AE72" s="27"/>
      <c r="AF72" s="27"/>
      <c r="AG72" s="27" t="n">
        <f aca="false">SUM(AH72:AK72)</f>
        <v>0</v>
      </c>
      <c r="AH72" s="27"/>
      <c r="AI72" s="27"/>
      <c r="AJ72" s="27"/>
      <c r="AK72" s="27"/>
      <c r="AL72" s="26" t="s">
        <v>406</v>
      </c>
      <c r="AM72" s="26"/>
      <c r="AN72" s="26" t="s">
        <v>26</v>
      </c>
      <c r="AO72" s="26" t="s">
        <v>155</v>
      </c>
      <c r="AP72" s="26" t="s">
        <v>407</v>
      </c>
      <c r="AQ72" s="26" t="s">
        <v>270</v>
      </c>
      <c r="AR72" s="26" t="s">
        <v>317</v>
      </c>
      <c r="AS72" s="26" t="s">
        <v>271</v>
      </c>
      <c r="AT72" s="26" t="s">
        <v>271</v>
      </c>
      <c r="AU72" s="35" t="s">
        <v>408</v>
      </c>
      <c r="AV72" s="26" t="s">
        <v>159</v>
      </c>
      <c r="AW72" s="26" t="s">
        <v>342</v>
      </c>
      <c r="AX72" s="26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customFormat="false" ht="105.75" hidden="false" customHeight="true" outlineLevel="0" collapsed="false">
      <c r="A73" s="17" t="s">
        <v>409</v>
      </c>
      <c r="B73" s="14" t="s">
        <v>307</v>
      </c>
      <c r="C73" s="26" t="s">
        <v>308</v>
      </c>
      <c r="D73" s="26" t="s">
        <v>322</v>
      </c>
      <c r="E73" s="42" t="s">
        <v>310</v>
      </c>
      <c r="F73" s="42" t="s">
        <v>311</v>
      </c>
      <c r="G73" s="26" t="s">
        <v>410</v>
      </c>
      <c r="H73" s="26" t="s">
        <v>270</v>
      </c>
      <c r="I73" s="27" t="n">
        <f aca="false">SUM(J73+P73+V73+AB73+AG73)</f>
        <v>42369.91472</v>
      </c>
      <c r="J73" s="27" t="n">
        <f aca="false">SUM(K73:O73)</f>
        <v>12710.97442</v>
      </c>
      <c r="K73" s="27"/>
      <c r="L73" s="27" t="n">
        <f aca="false">0+41522.51643-29065.7615-12456.75493+12456.75493</f>
        <v>12456.75493</v>
      </c>
      <c r="M73" s="27" t="n">
        <f aca="false">847.39829-593.1788-254.21949+254.21949</f>
        <v>254.21949</v>
      </c>
      <c r="N73" s="27"/>
      <c r="O73" s="27"/>
      <c r="P73" s="27" t="n">
        <f aca="false">SUM(Q73:U73)</f>
        <v>29658.9403</v>
      </c>
      <c r="Q73" s="27"/>
      <c r="R73" s="27" t="n">
        <f aca="false">0+29065.7615</f>
        <v>29065.7615</v>
      </c>
      <c r="S73" s="27" t="n">
        <f aca="false">0+593.1788</f>
        <v>593.1788</v>
      </c>
      <c r="T73" s="27"/>
      <c r="U73" s="27"/>
      <c r="V73" s="27" t="n">
        <f aca="false">SUM(W73:AA73)</f>
        <v>0</v>
      </c>
      <c r="W73" s="27"/>
      <c r="X73" s="27"/>
      <c r="Y73" s="27"/>
      <c r="Z73" s="27"/>
      <c r="AA73" s="27"/>
      <c r="AB73" s="27" t="n">
        <f aca="false">SUM(AC73:AF73)</f>
        <v>0</v>
      </c>
      <c r="AC73" s="27"/>
      <c r="AD73" s="27"/>
      <c r="AE73" s="27"/>
      <c r="AF73" s="27"/>
      <c r="AG73" s="27" t="n">
        <f aca="false">SUM(AH73:AK73)</f>
        <v>0</v>
      </c>
      <c r="AH73" s="27"/>
      <c r="AI73" s="27"/>
      <c r="AJ73" s="27"/>
      <c r="AK73" s="27"/>
      <c r="AL73" s="26" t="s">
        <v>406</v>
      </c>
      <c r="AM73" s="26"/>
      <c r="AN73" s="26" t="s">
        <v>26</v>
      </c>
      <c r="AO73" s="26" t="s">
        <v>155</v>
      </c>
      <c r="AP73" s="26" t="s">
        <v>411</v>
      </c>
      <c r="AQ73" s="26" t="s">
        <v>270</v>
      </c>
      <c r="AR73" s="26" t="s">
        <v>317</v>
      </c>
      <c r="AS73" s="26" t="s">
        <v>271</v>
      </c>
      <c r="AT73" s="26" t="s">
        <v>271</v>
      </c>
      <c r="AU73" s="35" t="s">
        <v>412</v>
      </c>
      <c r="AV73" s="26" t="s">
        <v>159</v>
      </c>
      <c r="AW73" s="26" t="s">
        <v>342</v>
      </c>
      <c r="AX73" s="26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customFormat="false" ht="105.75" hidden="false" customHeight="true" outlineLevel="0" collapsed="false">
      <c r="A74" s="17" t="s">
        <v>413</v>
      </c>
      <c r="B74" s="14" t="s">
        <v>307</v>
      </c>
      <c r="C74" s="26" t="s">
        <v>308</v>
      </c>
      <c r="D74" s="26" t="s">
        <v>309</v>
      </c>
      <c r="E74" s="24" t="s">
        <v>310</v>
      </c>
      <c r="F74" s="42" t="s">
        <v>311</v>
      </c>
      <c r="G74" s="26" t="s">
        <v>414</v>
      </c>
      <c r="H74" s="15" t="s">
        <v>415</v>
      </c>
      <c r="I74" s="27" t="n">
        <f aca="false">SUM(J74+P74+V74+AB74+AG74)</f>
        <v>14795.91837</v>
      </c>
      <c r="J74" s="27" t="n">
        <f aca="false">SUM(K74:O74)</f>
        <v>14795.91837</v>
      </c>
      <c r="K74" s="27"/>
      <c r="L74" s="27" t="n">
        <f aca="false">0+14500</f>
        <v>14500</v>
      </c>
      <c r="M74" s="27" t="n">
        <f aca="false">0+295.91837</f>
        <v>295.91837</v>
      </c>
      <c r="N74" s="27"/>
      <c r="O74" s="27"/>
      <c r="P74" s="27" t="n">
        <f aca="false">SUM(Q74:U74)</f>
        <v>0</v>
      </c>
      <c r="Q74" s="27"/>
      <c r="R74" s="27"/>
      <c r="S74" s="27"/>
      <c r="T74" s="27"/>
      <c r="U74" s="27"/>
      <c r="V74" s="27" t="n">
        <f aca="false">SUM(W74:AA74)</f>
        <v>0</v>
      </c>
      <c r="W74" s="27"/>
      <c r="X74" s="27"/>
      <c r="Y74" s="27"/>
      <c r="Z74" s="27"/>
      <c r="AA74" s="27"/>
      <c r="AB74" s="27" t="n">
        <f aca="false">SUM(AC74:AF74)</f>
        <v>0</v>
      </c>
      <c r="AC74" s="27"/>
      <c r="AD74" s="27"/>
      <c r="AE74" s="27"/>
      <c r="AF74" s="27"/>
      <c r="AG74" s="27" t="n">
        <f aca="false">SUM(AH74:AK74)</f>
        <v>0</v>
      </c>
      <c r="AH74" s="27"/>
      <c r="AI74" s="27"/>
      <c r="AJ74" s="27"/>
      <c r="AK74" s="27"/>
      <c r="AL74" s="26" t="s">
        <v>314</v>
      </c>
      <c r="AM74" s="33"/>
      <c r="AN74" s="33" t="s">
        <v>26</v>
      </c>
      <c r="AO74" s="33" t="s">
        <v>401</v>
      </c>
      <c r="AP74" s="26"/>
      <c r="AQ74" s="15" t="s">
        <v>416</v>
      </c>
      <c r="AR74" s="26" t="s">
        <v>317</v>
      </c>
      <c r="AS74" s="15" t="s">
        <v>417</v>
      </c>
      <c r="AT74" s="15" t="s">
        <v>417</v>
      </c>
      <c r="AU74" s="35"/>
      <c r="AV74" s="15" t="s">
        <v>159</v>
      </c>
      <c r="AW74" s="33" t="s">
        <v>90</v>
      </c>
      <c r="AX74" s="26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customFormat="false" ht="105.75" hidden="false" customHeight="true" outlineLevel="0" collapsed="false">
      <c r="A75" s="17" t="s">
        <v>418</v>
      </c>
      <c r="B75" s="14" t="s">
        <v>307</v>
      </c>
      <c r="C75" s="26" t="s">
        <v>308</v>
      </c>
      <c r="D75" s="26" t="s">
        <v>309</v>
      </c>
      <c r="E75" s="24" t="s">
        <v>310</v>
      </c>
      <c r="F75" s="42" t="s">
        <v>311</v>
      </c>
      <c r="G75" s="26" t="s">
        <v>419</v>
      </c>
      <c r="H75" s="15" t="s">
        <v>420</v>
      </c>
      <c r="I75" s="27" t="n">
        <f aca="false">SUM(J75+P75+V75+AB75+AG75)</f>
        <v>30822.75989</v>
      </c>
      <c r="J75" s="27" t="n">
        <f aca="false">SUM(K75:O75)</f>
        <v>7562.76098</v>
      </c>
      <c r="K75" s="46"/>
      <c r="L75" s="46" t="n">
        <f aca="false">7284.732+126.77376</f>
        <v>7411.50576</v>
      </c>
      <c r="M75" s="46" t="n">
        <f aca="false">148.668+2.58722</f>
        <v>151.25522</v>
      </c>
      <c r="N75" s="46"/>
      <c r="O75" s="46"/>
      <c r="P75" s="27" t="n">
        <f aca="false">SUM(Q75:U75)</f>
        <v>23259.99891</v>
      </c>
      <c r="Q75" s="46"/>
      <c r="R75" s="46" t="n">
        <f aca="false">19294.67628+3500.12265</f>
        <v>22794.79893</v>
      </c>
      <c r="S75" s="47" t="n">
        <f aca="false">393.7689+71.43108</f>
        <v>465.19998</v>
      </c>
      <c r="T75" s="33"/>
      <c r="U75" s="33"/>
      <c r="V75" s="27" t="n">
        <f aca="false">SUM(W75:AA75)</f>
        <v>0</v>
      </c>
      <c r="W75" s="33"/>
      <c r="X75" s="33"/>
      <c r="Y75" s="33"/>
      <c r="Z75" s="33"/>
      <c r="AA75" s="33"/>
      <c r="AB75" s="27" t="n">
        <f aca="false">SUM(AC75:AF75)</f>
        <v>0</v>
      </c>
      <c r="AC75" s="33"/>
      <c r="AD75" s="33"/>
      <c r="AE75" s="33"/>
      <c r="AF75" s="33"/>
      <c r="AG75" s="27" t="n">
        <f aca="false">SUM(AH75:AK75)</f>
        <v>0</v>
      </c>
      <c r="AH75" s="46"/>
      <c r="AI75" s="33"/>
      <c r="AJ75" s="33"/>
      <c r="AK75" s="33"/>
      <c r="AL75" s="26" t="s">
        <v>314</v>
      </c>
      <c r="AM75" s="33" t="s">
        <v>26</v>
      </c>
      <c r="AN75" s="33"/>
      <c r="AO75" s="15" t="s">
        <v>401</v>
      </c>
      <c r="AP75" s="48" t="s">
        <v>421</v>
      </c>
      <c r="AQ75" s="15" t="s">
        <v>246</v>
      </c>
      <c r="AR75" s="26" t="s">
        <v>317</v>
      </c>
      <c r="AS75" s="15" t="s">
        <v>247</v>
      </c>
      <c r="AT75" s="15" t="s">
        <v>247</v>
      </c>
      <c r="AU75" s="47" t="s">
        <v>422</v>
      </c>
      <c r="AV75" s="15" t="s">
        <v>159</v>
      </c>
      <c r="AW75" s="33" t="s">
        <v>423</v>
      </c>
      <c r="AX75" s="33" t="s">
        <v>424</v>
      </c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customFormat="false" ht="105.75" hidden="false" customHeight="true" outlineLevel="0" collapsed="false">
      <c r="A76" s="17" t="s">
        <v>425</v>
      </c>
      <c r="B76" s="14" t="s">
        <v>307</v>
      </c>
      <c r="C76" s="26" t="s">
        <v>308</v>
      </c>
      <c r="D76" s="26" t="s">
        <v>309</v>
      </c>
      <c r="E76" s="24" t="s">
        <v>310</v>
      </c>
      <c r="F76" s="42" t="s">
        <v>311</v>
      </c>
      <c r="G76" s="26" t="s">
        <v>426</v>
      </c>
      <c r="H76" s="15" t="s">
        <v>420</v>
      </c>
      <c r="I76" s="27" t="n">
        <f aca="false">SUM(J76+P76+V76+AB76+AG76)</f>
        <v>10241.84408</v>
      </c>
      <c r="J76" s="27" t="n">
        <f aca="false">SUM(K76:O76)</f>
        <v>2512.96831</v>
      </c>
      <c r="K76" s="46"/>
      <c r="L76" s="46" t="n">
        <f aca="false">2728.61214-265.9032</f>
        <v>2462.70894</v>
      </c>
      <c r="M76" s="46" t="n">
        <f aca="false">55.68596-5.42659</f>
        <v>50.25937</v>
      </c>
      <c r="N76" s="46"/>
      <c r="O76" s="46"/>
      <c r="P76" s="27" t="n">
        <f aca="false">SUM(Q76:U76)</f>
        <v>7728.87577</v>
      </c>
      <c r="Q76" s="46"/>
      <c r="R76" s="46" t="n">
        <f aca="false">6061.61813+1512.68012</f>
        <v>7574.29825</v>
      </c>
      <c r="S76" s="47" t="n">
        <f aca="false">123.70649+30.87103</f>
        <v>154.57752</v>
      </c>
      <c r="T76" s="33"/>
      <c r="U76" s="33"/>
      <c r="V76" s="27" t="n">
        <f aca="false">SUM(W76:AA76)</f>
        <v>0</v>
      </c>
      <c r="W76" s="33"/>
      <c r="X76" s="33"/>
      <c r="Y76" s="33"/>
      <c r="Z76" s="33"/>
      <c r="AA76" s="33"/>
      <c r="AB76" s="27" t="n">
        <f aca="false">SUM(AC76:AF76)</f>
        <v>0</v>
      </c>
      <c r="AC76" s="33"/>
      <c r="AD76" s="33"/>
      <c r="AE76" s="33"/>
      <c r="AF76" s="33"/>
      <c r="AG76" s="27" t="n">
        <f aca="false">SUM(AH76:AK76)</f>
        <v>0</v>
      </c>
      <c r="AH76" s="46"/>
      <c r="AI76" s="33"/>
      <c r="AJ76" s="33"/>
      <c r="AK76" s="33"/>
      <c r="AL76" s="26" t="s">
        <v>314</v>
      </c>
      <c r="AM76" s="33" t="s">
        <v>27</v>
      </c>
      <c r="AN76" s="33"/>
      <c r="AO76" s="15" t="s">
        <v>401</v>
      </c>
      <c r="AP76" s="48" t="s">
        <v>427</v>
      </c>
      <c r="AQ76" s="15" t="s">
        <v>246</v>
      </c>
      <c r="AR76" s="26" t="s">
        <v>317</v>
      </c>
      <c r="AS76" s="15" t="s">
        <v>247</v>
      </c>
      <c r="AT76" s="15" t="s">
        <v>247</v>
      </c>
      <c r="AU76" s="49" t="s">
        <v>428</v>
      </c>
      <c r="AV76" s="15" t="s">
        <v>159</v>
      </c>
      <c r="AW76" s="33" t="s">
        <v>423</v>
      </c>
      <c r="AX76" s="33" t="s">
        <v>429</v>
      </c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customFormat="false" ht="105.75" hidden="false" customHeight="true" outlineLevel="0" collapsed="false">
      <c r="A77" s="17" t="s">
        <v>430</v>
      </c>
      <c r="B77" s="14" t="s">
        <v>307</v>
      </c>
      <c r="C77" s="26" t="s">
        <v>308</v>
      </c>
      <c r="D77" s="26" t="s">
        <v>309</v>
      </c>
      <c r="E77" s="24" t="s">
        <v>310</v>
      </c>
      <c r="F77" s="42" t="s">
        <v>311</v>
      </c>
      <c r="G77" s="26" t="s">
        <v>431</v>
      </c>
      <c r="H77" s="15" t="s">
        <v>420</v>
      </c>
      <c r="I77" s="27" t="n">
        <f aca="false">SUM(J77+P77+V77+AB77+AG77)</f>
        <v>33826.85326</v>
      </c>
      <c r="J77" s="27" t="n">
        <f aca="false">SUM(K77:O77)</f>
        <v>8299.85381</v>
      </c>
      <c r="K77" s="46"/>
      <c r="L77" s="46" t="n">
        <f aca="false">7994.7273+139.12944</f>
        <v>8133.85674</v>
      </c>
      <c r="M77" s="46" t="n">
        <f aca="false">163.1577+2.83937</f>
        <v>165.99707</v>
      </c>
      <c r="N77" s="46"/>
      <c r="O77" s="46"/>
      <c r="P77" s="27" t="n">
        <f aca="false">SUM(Q77:U77)</f>
        <v>25526.99945</v>
      </c>
      <c r="Q77" s="46"/>
      <c r="R77" s="46" t="n">
        <f aca="false">21175.20248-0.00001+3841.25698</f>
        <v>25016.45945</v>
      </c>
      <c r="S77" s="47" t="n">
        <f aca="false">432.14699+0.00001+78.393</f>
        <v>510.54</v>
      </c>
      <c r="T77" s="33"/>
      <c r="U77" s="33"/>
      <c r="V77" s="27" t="n">
        <f aca="false">SUM(W77:AA77)</f>
        <v>0</v>
      </c>
      <c r="W77" s="33"/>
      <c r="X77" s="33"/>
      <c r="Y77" s="33"/>
      <c r="Z77" s="33"/>
      <c r="AA77" s="33"/>
      <c r="AB77" s="27" t="n">
        <f aca="false">SUM(AC77:AF77)</f>
        <v>0</v>
      </c>
      <c r="AC77" s="33"/>
      <c r="AD77" s="33"/>
      <c r="AE77" s="33"/>
      <c r="AF77" s="33"/>
      <c r="AG77" s="27" t="n">
        <f aca="false">SUM(AH77:AK77)</f>
        <v>0</v>
      </c>
      <c r="AH77" s="46"/>
      <c r="AI77" s="33"/>
      <c r="AJ77" s="33"/>
      <c r="AK77" s="33"/>
      <c r="AL77" s="26" t="s">
        <v>314</v>
      </c>
      <c r="AM77" s="33" t="s">
        <v>28</v>
      </c>
      <c r="AN77" s="33"/>
      <c r="AO77" s="15" t="s">
        <v>401</v>
      </c>
      <c r="AP77" s="48" t="s">
        <v>432</v>
      </c>
      <c r="AQ77" s="15" t="s">
        <v>246</v>
      </c>
      <c r="AR77" s="26" t="s">
        <v>317</v>
      </c>
      <c r="AS77" s="15" t="s">
        <v>247</v>
      </c>
      <c r="AT77" s="15" t="s">
        <v>247</v>
      </c>
      <c r="AU77" s="49" t="s">
        <v>433</v>
      </c>
      <c r="AV77" s="15" t="s">
        <v>159</v>
      </c>
      <c r="AW77" s="33" t="s">
        <v>423</v>
      </c>
      <c r="AX77" s="15" t="s">
        <v>434</v>
      </c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customFormat="false" ht="105.75" hidden="false" customHeight="true" outlineLevel="0" collapsed="false">
      <c r="A78" s="17" t="s">
        <v>435</v>
      </c>
      <c r="B78" s="14" t="s">
        <v>307</v>
      </c>
      <c r="C78" s="26" t="s">
        <v>308</v>
      </c>
      <c r="D78" s="26" t="s">
        <v>309</v>
      </c>
      <c r="E78" s="24" t="s">
        <v>310</v>
      </c>
      <c r="F78" s="42" t="s">
        <v>311</v>
      </c>
      <c r="G78" s="26" t="s">
        <v>436</v>
      </c>
      <c r="H78" s="15" t="s">
        <v>437</v>
      </c>
      <c r="I78" s="27" t="n">
        <f aca="false">SUM(J78+P78+V78+AB78+AG78)</f>
        <v>1753.30259</v>
      </c>
      <c r="J78" s="27" t="n">
        <f aca="false">SUM(K78:O78)</f>
        <v>1753.30259</v>
      </c>
      <c r="K78" s="46"/>
      <c r="L78" s="46" t="n">
        <f aca="false">0+1749.72442</f>
        <v>1749.72442</v>
      </c>
      <c r="M78" s="46" t="n">
        <f aca="false">0+3.57817</f>
        <v>3.57817</v>
      </c>
      <c r="N78" s="46"/>
      <c r="O78" s="46"/>
      <c r="P78" s="27" t="n">
        <f aca="false">SUM(Q78:U78)</f>
        <v>0</v>
      </c>
      <c r="Q78" s="46"/>
      <c r="R78" s="46"/>
      <c r="S78" s="47"/>
      <c r="T78" s="33"/>
      <c r="U78" s="33"/>
      <c r="V78" s="27" t="n">
        <f aca="false">SUM(W78:AA78)</f>
        <v>0</v>
      </c>
      <c r="W78" s="33"/>
      <c r="X78" s="33"/>
      <c r="Y78" s="33"/>
      <c r="Z78" s="33"/>
      <c r="AA78" s="33"/>
      <c r="AB78" s="27" t="n">
        <f aca="false">SUM(AC78:AF78)</f>
        <v>0</v>
      </c>
      <c r="AC78" s="33"/>
      <c r="AD78" s="33"/>
      <c r="AE78" s="33"/>
      <c r="AF78" s="33"/>
      <c r="AG78" s="27" t="n">
        <f aca="false">SUM(AH78:AK78)</f>
        <v>0</v>
      </c>
      <c r="AH78" s="46"/>
      <c r="AI78" s="33"/>
      <c r="AJ78" s="33"/>
      <c r="AK78" s="33"/>
      <c r="AL78" s="26" t="s">
        <v>314</v>
      </c>
      <c r="AM78" s="29"/>
      <c r="AN78" s="29" t="s">
        <v>25</v>
      </c>
      <c r="AO78" s="50" t="s">
        <v>401</v>
      </c>
      <c r="AP78" s="29"/>
      <c r="AQ78" s="26" t="s">
        <v>438</v>
      </c>
      <c r="AR78" s="51" t="s">
        <v>439</v>
      </c>
      <c r="AS78" s="26" t="s">
        <v>440</v>
      </c>
      <c r="AT78" s="26" t="s">
        <v>440</v>
      </c>
      <c r="AU78" s="52"/>
      <c r="AV78" s="26" t="s">
        <v>441</v>
      </c>
      <c r="AW78" s="29" t="s">
        <v>90</v>
      </c>
      <c r="AX78" s="29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customFormat="false" ht="108.75" hidden="false" customHeight="true" outlineLevel="0" collapsed="false">
      <c r="A79" s="17" t="s">
        <v>442</v>
      </c>
      <c r="B79" s="53" t="s">
        <v>443</v>
      </c>
      <c r="C79" s="53" t="s">
        <v>444</v>
      </c>
      <c r="D79" s="54" t="s">
        <v>445</v>
      </c>
      <c r="E79" s="55" t="s">
        <v>446</v>
      </c>
      <c r="F79" s="55" t="s">
        <v>447</v>
      </c>
      <c r="G79" s="54" t="s">
        <v>448</v>
      </c>
      <c r="H79" s="54" t="s">
        <v>246</v>
      </c>
      <c r="I79" s="20" t="n">
        <f aca="false">J79+P79+V79+AB79+AG79</f>
        <v>30000</v>
      </c>
      <c r="J79" s="20" t="n">
        <f aca="false">SUM(K79:O79)</f>
        <v>30000</v>
      </c>
      <c r="K79" s="56"/>
      <c r="L79" s="56" t="n">
        <f aca="false">0+30000</f>
        <v>30000</v>
      </c>
      <c r="M79" s="56"/>
      <c r="N79" s="56"/>
      <c r="O79" s="56"/>
      <c r="P79" s="21" t="n">
        <f aca="false">SUM(Q79:U79)</f>
        <v>0</v>
      </c>
      <c r="Q79" s="56"/>
      <c r="R79" s="56" t="n">
        <f aca="false">30000-30000</f>
        <v>0</v>
      </c>
      <c r="S79" s="56"/>
      <c r="T79" s="56"/>
      <c r="U79" s="56"/>
      <c r="V79" s="21" t="n">
        <f aca="false">SUM(W79:AA79)</f>
        <v>0</v>
      </c>
      <c r="W79" s="56"/>
      <c r="X79" s="56"/>
      <c r="Y79" s="56"/>
      <c r="Z79" s="56"/>
      <c r="AA79" s="56"/>
      <c r="AB79" s="21" t="n">
        <f aca="false">SUM(AC79:AF79)</f>
        <v>0</v>
      </c>
      <c r="AC79" s="56"/>
      <c r="AD79" s="56"/>
      <c r="AE79" s="56"/>
      <c r="AF79" s="56"/>
      <c r="AG79" s="20" t="n">
        <f aca="false">SUM(AH79:AK79)</f>
        <v>0</v>
      </c>
      <c r="AH79" s="56"/>
      <c r="AI79" s="56"/>
      <c r="AJ79" s="56"/>
      <c r="AK79" s="56"/>
      <c r="AL79" s="15" t="s">
        <v>449</v>
      </c>
      <c r="AM79" s="54" t="s">
        <v>25</v>
      </c>
      <c r="AN79" s="54"/>
      <c r="AO79" s="54" t="s">
        <v>305</v>
      </c>
      <c r="AP79" s="54" t="s">
        <v>450</v>
      </c>
      <c r="AQ79" s="53" t="s">
        <v>444</v>
      </c>
      <c r="AR79" s="53" t="s">
        <v>444</v>
      </c>
      <c r="AS79" s="53" t="s">
        <v>444</v>
      </c>
      <c r="AT79" s="53" t="s">
        <v>444</v>
      </c>
      <c r="AU79" s="56" t="s">
        <v>451</v>
      </c>
      <c r="AV79" s="15" t="s">
        <v>53</v>
      </c>
      <c r="AW79" s="53" t="s">
        <v>131</v>
      </c>
      <c r="AX79" s="54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customFormat="false" ht="132" hidden="false" customHeight="true" outlineLevel="0" collapsed="false">
      <c r="A80" s="17" t="s">
        <v>452</v>
      </c>
      <c r="B80" s="53" t="s">
        <v>443</v>
      </c>
      <c r="C80" s="53" t="s">
        <v>444</v>
      </c>
      <c r="D80" s="57" t="s">
        <v>453</v>
      </c>
      <c r="E80" s="55" t="s">
        <v>454</v>
      </c>
      <c r="F80" s="55" t="s">
        <v>455</v>
      </c>
      <c r="G80" s="53" t="s">
        <v>456</v>
      </c>
      <c r="H80" s="53" t="s">
        <v>67</v>
      </c>
      <c r="I80" s="20" t="n">
        <f aca="false">J80+P80+V80+AB80+AG80</f>
        <v>2878261.90633</v>
      </c>
      <c r="J80" s="20" t="n">
        <f aca="false">SUM(K80:O80)</f>
        <v>668373.01744</v>
      </c>
      <c r="K80" s="58" t="n">
        <v>625000</v>
      </c>
      <c r="L80" s="58" t="n">
        <f aca="false">1113119.015-1069745.99756</f>
        <v>43373.0174399999</v>
      </c>
      <c r="M80" s="58"/>
      <c r="N80" s="58"/>
      <c r="O80" s="58"/>
      <c r="P80" s="21" t="n">
        <f aca="false">SUM(Q80:U80)</f>
        <v>913838.38384</v>
      </c>
      <c r="Q80" s="58" t="n">
        <v>875000</v>
      </c>
      <c r="R80" s="58" t="n">
        <f aca="false">0+8838.38384+30000</f>
        <v>38838.38384</v>
      </c>
      <c r="S80" s="58"/>
      <c r="T80" s="58"/>
      <c r="U80" s="58"/>
      <c r="V80" s="21" t="n">
        <f aca="false">SUM(W80:AA80)</f>
        <v>1296050.50505</v>
      </c>
      <c r="W80" s="58" t="n">
        <v>1283090</v>
      </c>
      <c r="X80" s="58" t="n">
        <f aca="false">0+12960.50505</f>
        <v>12960.50505</v>
      </c>
      <c r="Y80" s="58"/>
      <c r="Z80" s="58"/>
      <c r="AA80" s="58"/>
      <c r="AB80" s="21" t="n">
        <f aca="false">SUM(AC80:AF80)</f>
        <v>0</v>
      </c>
      <c r="AC80" s="58"/>
      <c r="AD80" s="58"/>
      <c r="AE80" s="58"/>
      <c r="AF80" s="58"/>
      <c r="AG80" s="20" t="n">
        <f aca="false">SUM(AH80:AK80)</f>
        <v>0</v>
      </c>
      <c r="AH80" s="58"/>
      <c r="AI80" s="58"/>
      <c r="AJ80" s="58"/>
      <c r="AK80" s="58"/>
      <c r="AL80" s="15" t="s">
        <v>457</v>
      </c>
      <c r="AM80" s="53" t="s">
        <v>27</v>
      </c>
      <c r="AN80" s="53"/>
      <c r="AO80" s="53" t="s">
        <v>48</v>
      </c>
      <c r="AP80" s="53" t="s">
        <v>458</v>
      </c>
      <c r="AQ80" s="53" t="s">
        <v>459</v>
      </c>
      <c r="AR80" s="53" t="s">
        <v>444</v>
      </c>
      <c r="AS80" s="53" t="s">
        <v>459</v>
      </c>
      <c r="AT80" s="53" t="s">
        <v>459</v>
      </c>
      <c r="AU80" s="56" t="s">
        <v>460</v>
      </c>
      <c r="AV80" s="15" t="s">
        <v>53</v>
      </c>
      <c r="AW80" s="53" t="s">
        <v>54</v>
      </c>
      <c r="AX80" s="53" t="s">
        <v>461</v>
      </c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customFormat="false" ht="132" hidden="false" customHeight="true" outlineLevel="0" collapsed="false">
      <c r="A81" s="17" t="s">
        <v>462</v>
      </c>
      <c r="B81" s="53" t="s">
        <v>443</v>
      </c>
      <c r="C81" s="53" t="s">
        <v>444</v>
      </c>
      <c r="D81" s="57" t="s">
        <v>463</v>
      </c>
      <c r="E81" s="55" t="s">
        <v>454</v>
      </c>
      <c r="F81" s="55" t="s">
        <v>464</v>
      </c>
      <c r="G81" s="53" t="s">
        <v>465</v>
      </c>
      <c r="H81" s="53" t="s">
        <v>117</v>
      </c>
      <c r="I81" s="20" t="n">
        <f aca="false">J81+P81+V81+AB81+AG81</f>
        <v>1098400</v>
      </c>
      <c r="J81" s="20" t="n">
        <f aca="false">SUM(K81:O81)</f>
        <v>4700</v>
      </c>
      <c r="K81" s="58"/>
      <c r="L81" s="58" t="n">
        <v>4700</v>
      </c>
      <c r="M81" s="56"/>
      <c r="N81" s="58"/>
      <c r="O81" s="58"/>
      <c r="P81" s="21" t="n">
        <f aca="false">SUM(Q81:U81)</f>
        <v>470000</v>
      </c>
      <c r="Q81" s="58"/>
      <c r="R81" s="58" t="n">
        <v>470000</v>
      </c>
      <c r="S81" s="56"/>
      <c r="T81" s="58"/>
      <c r="U81" s="58"/>
      <c r="V81" s="21" t="n">
        <f aca="false">SUM(W81:AA81)</f>
        <v>623700</v>
      </c>
      <c r="W81" s="58"/>
      <c r="X81" s="56" t="n">
        <v>623700</v>
      </c>
      <c r="Y81" s="58"/>
      <c r="Z81" s="58"/>
      <c r="AA81" s="58"/>
      <c r="AB81" s="21" t="n">
        <f aca="false">SUM(AC81:AF81)</f>
        <v>0</v>
      </c>
      <c r="AC81" s="58"/>
      <c r="AD81" s="58"/>
      <c r="AE81" s="58"/>
      <c r="AF81" s="58"/>
      <c r="AG81" s="20" t="n">
        <f aca="false">SUM(AH81:AK81)</f>
        <v>0</v>
      </c>
      <c r="AH81" s="58"/>
      <c r="AI81" s="58"/>
      <c r="AJ81" s="58"/>
      <c r="AK81" s="58"/>
      <c r="AL81" s="57" t="s">
        <v>466</v>
      </c>
      <c r="AM81" s="53" t="s">
        <v>27</v>
      </c>
      <c r="AN81" s="53"/>
      <c r="AO81" s="53" t="s">
        <v>48</v>
      </c>
      <c r="AP81" s="53" t="s">
        <v>467</v>
      </c>
      <c r="AQ81" s="53" t="s">
        <v>459</v>
      </c>
      <c r="AR81" s="53" t="s">
        <v>444</v>
      </c>
      <c r="AS81" s="53" t="s">
        <v>459</v>
      </c>
      <c r="AT81" s="53" t="s">
        <v>459</v>
      </c>
      <c r="AU81" s="56" t="s">
        <v>468</v>
      </c>
      <c r="AV81" s="15" t="s">
        <v>53</v>
      </c>
      <c r="AW81" s="53" t="s">
        <v>54</v>
      </c>
      <c r="AX81" s="53" t="s">
        <v>469</v>
      </c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customFormat="false" ht="133.5" hidden="false" customHeight="true" outlineLevel="0" collapsed="false">
      <c r="A82" s="17" t="s">
        <v>470</v>
      </c>
      <c r="B82" s="53" t="s">
        <v>443</v>
      </c>
      <c r="C82" s="53" t="s">
        <v>444</v>
      </c>
      <c r="D82" s="57" t="s">
        <v>463</v>
      </c>
      <c r="E82" s="55" t="s">
        <v>454</v>
      </c>
      <c r="F82" s="55" t="s">
        <v>464</v>
      </c>
      <c r="G82" s="53" t="s">
        <v>471</v>
      </c>
      <c r="H82" s="53" t="s">
        <v>117</v>
      </c>
      <c r="I82" s="20" t="n">
        <f aca="false">J82+P82+V82+AB82+AG82</f>
        <v>318991.52294</v>
      </c>
      <c r="J82" s="20" t="n">
        <f aca="false">SUM(K82:O82)</f>
        <v>0</v>
      </c>
      <c r="K82" s="58"/>
      <c r="L82" s="58"/>
      <c r="M82" s="58"/>
      <c r="N82" s="58"/>
      <c r="O82" s="58"/>
      <c r="P82" s="21" t="n">
        <f aca="false">SUM(Q82:U82)</f>
        <v>318991.52294</v>
      </c>
      <c r="Q82" s="58"/>
      <c r="R82" s="58" t="n">
        <f aca="false">287092.37065</f>
        <v>287092.37065</v>
      </c>
      <c r="S82" s="58" t="n">
        <v>31899.15229</v>
      </c>
      <c r="T82" s="58"/>
      <c r="U82" s="58"/>
      <c r="V82" s="21" t="n">
        <f aca="false">SUM(W82:AA82)</f>
        <v>0</v>
      </c>
      <c r="W82" s="58"/>
      <c r="X82" s="58"/>
      <c r="Y82" s="58"/>
      <c r="Z82" s="58"/>
      <c r="AA82" s="58"/>
      <c r="AB82" s="21" t="n">
        <f aca="false">SUM(AC82:AF82)</f>
        <v>0</v>
      </c>
      <c r="AC82" s="58"/>
      <c r="AD82" s="58"/>
      <c r="AE82" s="58"/>
      <c r="AF82" s="58"/>
      <c r="AG82" s="20" t="n">
        <f aca="false">SUM(AH82:AK82)</f>
        <v>0</v>
      </c>
      <c r="AH82" s="58"/>
      <c r="AI82" s="58"/>
      <c r="AJ82" s="58"/>
      <c r="AK82" s="58"/>
      <c r="AL82" s="57" t="s">
        <v>466</v>
      </c>
      <c r="AM82" s="53" t="s">
        <v>26</v>
      </c>
      <c r="AN82" s="53"/>
      <c r="AO82" s="53" t="s">
        <v>155</v>
      </c>
      <c r="AP82" s="59" t="s">
        <v>472</v>
      </c>
      <c r="AQ82" s="53" t="s">
        <v>117</v>
      </c>
      <c r="AR82" s="53" t="s">
        <v>444</v>
      </c>
      <c r="AS82" s="53" t="s">
        <v>473</v>
      </c>
      <c r="AT82" s="53" t="s">
        <v>157</v>
      </c>
      <c r="AU82" s="56" t="s">
        <v>474</v>
      </c>
      <c r="AV82" s="53" t="s">
        <v>159</v>
      </c>
      <c r="AW82" s="53" t="s">
        <v>54</v>
      </c>
      <c r="AX82" s="53" t="s">
        <v>475</v>
      </c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customFormat="false" ht="133.5" hidden="false" customHeight="true" outlineLevel="0" collapsed="false">
      <c r="A83" s="17" t="s">
        <v>476</v>
      </c>
      <c r="B83" s="53" t="s">
        <v>443</v>
      </c>
      <c r="C83" s="53" t="s">
        <v>444</v>
      </c>
      <c r="D83" s="57" t="s">
        <v>463</v>
      </c>
      <c r="E83" s="55" t="s">
        <v>454</v>
      </c>
      <c r="F83" s="55" t="s">
        <v>464</v>
      </c>
      <c r="G83" s="53" t="s">
        <v>477</v>
      </c>
      <c r="H83" s="54" t="s">
        <v>246</v>
      </c>
      <c r="I83" s="20" t="n">
        <f aca="false">J83+P83+V83+AB83+AG83</f>
        <v>326195.51055</v>
      </c>
      <c r="J83" s="20" t="n">
        <f aca="false">SUM(K83:O83)</f>
        <v>20649.7823</v>
      </c>
      <c r="K83" s="56"/>
      <c r="L83" s="20" t="n">
        <f aca="false">0+30000-9350.2177</f>
        <v>20649.7823</v>
      </c>
      <c r="M83" s="58"/>
      <c r="N83" s="58"/>
      <c r="O83" s="58"/>
      <c r="P83" s="21" t="n">
        <f aca="false">SUM(Q83:U83)</f>
        <v>100000</v>
      </c>
      <c r="Q83" s="58"/>
      <c r="R83" s="56" t="n">
        <v>100000</v>
      </c>
      <c r="S83" s="58"/>
      <c r="T83" s="58"/>
      <c r="U83" s="58"/>
      <c r="V83" s="21" t="n">
        <f aca="false">SUM(W83:AA83)</f>
        <v>205545.72825</v>
      </c>
      <c r="W83" s="58"/>
      <c r="X83" s="58" t="n">
        <v>205545.72825</v>
      </c>
      <c r="Y83" s="58"/>
      <c r="Z83" s="58"/>
      <c r="AA83" s="58"/>
      <c r="AB83" s="21" t="n">
        <f aca="false">SUM(AC83:AF83)</f>
        <v>0</v>
      </c>
      <c r="AC83" s="58"/>
      <c r="AD83" s="58"/>
      <c r="AE83" s="58"/>
      <c r="AF83" s="58"/>
      <c r="AG83" s="20" t="n">
        <f aca="false">SUM(AH83:AK83)</f>
        <v>0</v>
      </c>
      <c r="AH83" s="58"/>
      <c r="AI83" s="58"/>
      <c r="AJ83" s="58"/>
      <c r="AK83" s="58"/>
      <c r="AL83" s="57" t="s">
        <v>466</v>
      </c>
      <c r="AM83" s="53" t="s">
        <v>27</v>
      </c>
      <c r="AN83" s="53"/>
      <c r="AO83" s="53" t="s">
        <v>48</v>
      </c>
      <c r="AP83" s="53" t="s">
        <v>478</v>
      </c>
      <c r="AQ83" s="53" t="s">
        <v>459</v>
      </c>
      <c r="AR83" s="53" t="s">
        <v>444</v>
      </c>
      <c r="AS83" s="53" t="s">
        <v>459</v>
      </c>
      <c r="AT83" s="53" t="s">
        <v>459</v>
      </c>
      <c r="AU83" s="56" t="s">
        <v>479</v>
      </c>
      <c r="AV83" s="15" t="s">
        <v>53</v>
      </c>
      <c r="AW83" s="53" t="s">
        <v>423</v>
      </c>
      <c r="AX83" s="53" t="s">
        <v>480</v>
      </c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customFormat="false" ht="102" hidden="false" customHeight="true" outlineLevel="0" collapsed="false">
      <c r="A84" s="17" t="s">
        <v>481</v>
      </c>
      <c r="B84" s="53" t="s">
        <v>443</v>
      </c>
      <c r="C84" s="53" t="s">
        <v>444</v>
      </c>
      <c r="D84" s="57" t="s">
        <v>463</v>
      </c>
      <c r="E84" s="55" t="s">
        <v>454</v>
      </c>
      <c r="F84" s="55" t="s">
        <v>464</v>
      </c>
      <c r="G84" s="53" t="s">
        <v>482</v>
      </c>
      <c r="H84" s="53" t="s">
        <v>117</v>
      </c>
      <c r="I84" s="20" t="n">
        <f aca="false">J84+P84+V84+AB84+AG84</f>
        <v>3641676.412</v>
      </c>
      <c r="J84" s="20" t="n">
        <f aca="false">SUM(K84:O84)</f>
        <v>11111.112</v>
      </c>
      <c r="K84" s="58"/>
      <c r="L84" s="58" t="n">
        <f aca="false">0+10000</f>
        <v>10000</v>
      </c>
      <c r="M84" s="58" t="n">
        <f aca="false">0+1111.112</f>
        <v>1111.112</v>
      </c>
      <c r="N84" s="58"/>
      <c r="O84" s="58"/>
      <c r="P84" s="21" t="n">
        <f aca="false">SUM(Q84:U84)</f>
        <v>842645.4</v>
      </c>
      <c r="Q84" s="60" t="n">
        <f aca="false">0+825792.5</f>
        <v>825792.5</v>
      </c>
      <c r="R84" s="56" t="n">
        <f aca="false">1000000-4908.75653-986664.79347</f>
        <v>8426.44999999995</v>
      </c>
      <c r="S84" s="58" t="n">
        <f aca="false">520000-545.41739-511028.13261</f>
        <v>8426.45000000001</v>
      </c>
      <c r="T84" s="58"/>
      <c r="U84" s="58"/>
      <c r="V84" s="21" t="n">
        <f aca="false">SUM(W84:AA84)</f>
        <v>1020408.2</v>
      </c>
      <c r="W84" s="58" t="n">
        <f aca="false">0+1000000</f>
        <v>1000000</v>
      </c>
      <c r="X84" s="58" t="n">
        <f aca="false">1000000-989795.9</f>
        <v>10204.1</v>
      </c>
      <c r="Y84" s="58" t="n">
        <f aca="false">9450+754.1</f>
        <v>10204.1</v>
      </c>
      <c r="Z84" s="58"/>
      <c r="AA84" s="58"/>
      <c r="AB84" s="21" t="n">
        <f aca="false">SUM(AC84:AF84)</f>
        <v>995140.8</v>
      </c>
      <c r="AC84" s="58" t="n">
        <f aca="false">150000+825238</f>
        <v>975238</v>
      </c>
      <c r="AD84" s="58" t="n">
        <f aca="false">1120250-1110298.6</f>
        <v>9951.39999999991</v>
      </c>
      <c r="AE84" s="58" t="n">
        <f aca="false">525000-515048.6</f>
        <v>9951.40000000002</v>
      </c>
      <c r="AF84" s="58"/>
      <c r="AG84" s="20" t="n">
        <f aca="false">SUM(AH84:AK84)</f>
        <v>772370.9</v>
      </c>
      <c r="AH84" s="61" t="n">
        <f aca="false">0+756923.5</f>
        <v>756923.5</v>
      </c>
      <c r="AI84" s="61" t="n">
        <f aca="false">0+7723.7</f>
        <v>7723.7</v>
      </c>
      <c r="AJ84" s="61" t="n">
        <f aca="false">0+7723.7</f>
        <v>7723.7</v>
      </c>
      <c r="AK84" s="58"/>
      <c r="AL84" s="57" t="s">
        <v>466</v>
      </c>
      <c r="AM84" s="53" t="s">
        <v>180</v>
      </c>
      <c r="AN84" s="53"/>
      <c r="AO84" s="53" t="s">
        <v>155</v>
      </c>
      <c r="AP84" s="15" t="s">
        <v>483</v>
      </c>
      <c r="AQ84" s="53" t="s">
        <v>117</v>
      </c>
      <c r="AR84" s="53" t="s">
        <v>444</v>
      </c>
      <c r="AS84" s="53" t="s">
        <v>473</v>
      </c>
      <c r="AT84" s="53" t="s">
        <v>157</v>
      </c>
      <c r="AU84" s="56" t="s">
        <v>484</v>
      </c>
      <c r="AV84" s="53" t="s">
        <v>159</v>
      </c>
      <c r="AW84" s="53" t="s">
        <v>423</v>
      </c>
      <c r="AX84" s="62" t="s">
        <v>485</v>
      </c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customFormat="false" ht="104.65" hidden="false" customHeight="true" outlineLevel="0" collapsed="false">
      <c r="A85" s="17" t="s">
        <v>486</v>
      </c>
      <c r="B85" s="53" t="s">
        <v>443</v>
      </c>
      <c r="C85" s="53" t="s">
        <v>444</v>
      </c>
      <c r="D85" s="57" t="s">
        <v>463</v>
      </c>
      <c r="E85" s="55" t="s">
        <v>454</v>
      </c>
      <c r="F85" s="55" t="s">
        <v>464</v>
      </c>
      <c r="G85" s="53" t="s">
        <v>487</v>
      </c>
      <c r="H85" s="53" t="s">
        <v>117</v>
      </c>
      <c r="I85" s="20" t="n">
        <f aca="false">J85+P85+V85+AB85+AG85</f>
        <v>51030.70707</v>
      </c>
      <c r="J85" s="20" t="n">
        <f aca="false">SUM(K85:O85)</f>
        <v>51030.70707</v>
      </c>
      <c r="K85" s="58" t="n">
        <f aca="false">112772.2-62757</f>
        <v>50015.2</v>
      </c>
      <c r="L85" s="58" t="n">
        <f aca="false">1139.1-633.9</f>
        <v>505.2</v>
      </c>
      <c r="M85" s="58" t="n">
        <f aca="false">0+1150.61919-640.31212</f>
        <v>510.30707</v>
      </c>
      <c r="N85" s="58"/>
      <c r="O85" s="58"/>
      <c r="P85" s="21" t="n">
        <f aca="false">SUM(Q85:U85)</f>
        <v>0</v>
      </c>
      <c r="Q85" s="58"/>
      <c r="R85" s="58"/>
      <c r="S85" s="58"/>
      <c r="T85" s="58"/>
      <c r="U85" s="58"/>
      <c r="V85" s="21" t="n">
        <f aca="false">SUM(W85:AA85)</f>
        <v>0</v>
      </c>
      <c r="W85" s="58"/>
      <c r="X85" s="58"/>
      <c r="Y85" s="58"/>
      <c r="Z85" s="58"/>
      <c r="AA85" s="58"/>
      <c r="AB85" s="21" t="n">
        <f aca="false">SUM(AC85:AF85)</f>
        <v>0</v>
      </c>
      <c r="AC85" s="58"/>
      <c r="AD85" s="58"/>
      <c r="AE85" s="58"/>
      <c r="AF85" s="58"/>
      <c r="AG85" s="20" t="n">
        <f aca="false">SUM(AH85:AK85)</f>
        <v>0</v>
      </c>
      <c r="AH85" s="58"/>
      <c r="AI85" s="58"/>
      <c r="AJ85" s="58"/>
      <c r="AK85" s="58"/>
      <c r="AL85" s="57" t="s">
        <v>466</v>
      </c>
      <c r="AM85" s="54" t="s">
        <v>25</v>
      </c>
      <c r="AN85" s="53"/>
      <c r="AO85" s="53" t="s">
        <v>155</v>
      </c>
      <c r="AP85" s="15" t="s">
        <v>488</v>
      </c>
      <c r="AQ85" s="53" t="s">
        <v>117</v>
      </c>
      <c r="AR85" s="53" t="s">
        <v>444</v>
      </c>
      <c r="AS85" s="53" t="s">
        <v>473</v>
      </c>
      <c r="AT85" s="53" t="s">
        <v>157</v>
      </c>
      <c r="AU85" s="56" t="s">
        <v>489</v>
      </c>
      <c r="AV85" s="53" t="s">
        <v>159</v>
      </c>
      <c r="AW85" s="53" t="s">
        <v>423</v>
      </c>
      <c r="AX85" s="53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customFormat="false" ht="102.6" hidden="false" customHeight="true" outlineLevel="0" collapsed="false">
      <c r="A86" s="17" t="s">
        <v>490</v>
      </c>
      <c r="B86" s="53" t="s">
        <v>443</v>
      </c>
      <c r="C86" s="53" t="s">
        <v>444</v>
      </c>
      <c r="D86" s="57" t="s">
        <v>463</v>
      </c>
      <c r="E86" s="55" t="s">
        <v>454</v>
      </c>
      <c r="F86" s="55" t="s">
        <v>464</v>
      </c>
      <c r="G86" s="53" t="s">
        <v>491</v>
      </c>
      <c r="H86" s="53" t="s">
        <v>117</v>
      </c>
      <c r="I86" s="20" t="n">
        <f aca="false">J86+P86+V86+AB86+AG86</f>
        <v>177003.43434</v>
      </c>
      <c r="J86" s="20" t="n">
        <f aca="false">SUM(K86:O86)</f>
        <v>177003.43434</v>
      </c>
      <c r="K86" s="58" t="n">
        <f aca="false">92026.9+81471.6</f>
        <v>173498.5</v>
      </c>
      <c r="L86" s="58" t="n">
        <f aca="false">929.6+805.3</f>
        <v>1734.9</v>
      </c>
      <c r="M86" s="58" t="n">
        <f aca="false">0+938.95455+831.07979</f>
        <v>1770.03434</v>
      </c>
      <c r="N86" s="58"/>
      <c r="O86" s="58"/>
      <c r="P86" s="21" t="n">
        <f aca="false">SUM(Q86:U86)</f>
        <v>0</v>
      </c>
      <c r="Q86" s="58"/>
      <c r="R86" s="58"/>
      <c r="S86" s="58"/>
      <c r="T86" s="58"/>
      <c r="U86" s="58"/>
      <c r="V86" s="21" t="n">
        <f aca="false">SUM(W86:AA86)</f>
        <v>0</v>
      </c>
      <c r="W86" s="58"/>
      <c r="X86" s="58"/>
      <c r="Y86" s="58"/>
      <c r="Z86" s="58"/>
      <c r="AA86" s="58"/>
      <c r="AB86" s="21" t="n">
        <f aca="false">SUM(AC86:AF86)</f>
        <v>0</v>
      </c>
      <c r="AC86" s="58"/>
      <c r="AD86" s="58"/>
      <c r="AE86" s="58"/>
      <c r="AF86" s="58"/>
      <c r="AG86" s="20" t="n">
        <f aca="false">SUM(AH86:AK86)</f>
        <v>0</v>
      </c>
      <c r="AH86" s="58"/>
      <c r="AI86" s="58"/>
      <c r="AJ86" s="58"/>
      <c r="AK86" s="58"/>
      <c r="AL86" s="57" t="s">
        <v>466</v>
      </c>
      <c r="AM86" s="54" t="s">
        <v>25</v>
      </c>
      <c r="AN86" s="53"/>
      <c r="AO86" s="53" t="s">
        <v>155</v>
      </c>
      <c r="AP86" s="59" t="s">
        <v>492</v>
      </c>
      <c r="AQ86" s="53" t="s">
        <v>117</v>
      </c>
      <c r="AR86" s="53" t="s">
        <v>444</v>
      </c>
      <c r="AS86" s="53" t="s">
        <v>473</v>
      </c>
      <c r="AT86" s="53" t="s">
        <v>157</v>
      </c>
      <c r="AU86" s="56" t="s">
        <v>493</v>
      </c>
      <c r="AV86" s="53" t="s">
        <v>159</v>
      </c>
      <c r="AW86" s="53" t="s">
        <v>423</v>
      </c>
      <c r="AX86" s="53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customFormat="false" ht="109.5" hidden="false" customHeight="true" outlineLevel="0" collapsed="false">
      <c r="A87" s="17" t="s">
        <v>494</v>
      </c>
      <c r="B87" s="53" t="s">
        <v>443</v>
      </c>
      <c r="C87" s="63" t="s">
        <v>444</v>
      </c>
      <c r="D87" s="57" t="s">
        <v>463</v>
      </c>
      <c r="E87" s="55" t="s">
        <v>454</v>
      </c>
      <c r="F87" s="55" t="s">
        <v>464</v>
      </c>
      <c r="G87" s="53" t="s">
        <v>495</v>
      </c>
      <c r="H87" s="53" t="s">
        <v>117</v>
      </c>
      <c r="I87" s="20" t="n">
        <f aca="false">J87+P87+V87+AB87+AG87</f>
        <v>37480.70707</v>
      </c>
      <c r="J87" s="20" t="n">
        <f aca="false">SUM(K87:O87)</f>
        <v>37480.70707</v>
      </c>
      <c r="K87" s="58" t="n">
        <f aca="false">112312.7-75574.2</f>
        <v>36738.5</v>
      </c>
      <c r="L87" s="58" t="n">
        <f aca="false">1134.5-767.1</f>
        <v>367.4</v>
      </c>
      <c r="M87" s="58" t="n">
        <f aca="false">0+1145.93131-771.12424</f>
        <v>374.80707</v>
      </c>
      <c r="N87" s="58"/>
      <c r="O87" s="58"/>
      <c r="P87" s="21" t="n">
        <f aca="false">SUM(Q87:U87)</f>
        <v>0</v>
      </c>
      <c r="Q87" s="58"/>
      <c r="R87" s="58"/>
      <c r="S87" s="58"/>
      <c r="T87" s="58"/>
      <c r="U87" s="58"/>
      <c r="V87" s="21" t="n">
        <f aca="false">SUM(W87:AA87)</f>
        <v>0</v>
      </c>
      <c r="W87" s="58"/>
      <c r="X87" s="58"/>
      <c r="Y87" s="58"/>
      <c r="Z87" s="58"/>
      <c r="AA87" s="58"/>
      <c r="AB87" s="21" t="n">
        <f aca="false">SUM(AC87:AF87)</f>
        <v>0</v>
      </c>
      <c r="AC87" s="58"/>
      <c r="AD87" s="58"/>
      <c r="AE87" s="58"/>
      <c r="AF87" s="58"/>
      <c r="AG87" s="20" t="n">
        <f aca="false">SUM(AH87:AK87)</f>
        <v>0</v>
      </c>
      <c r="AH87" s="58"/>
      <c r="AI87" s="58"/>
      <c r="AJ87" s="58"/>
      <c r="AK87" s="58"/>
      <c r="AL87" s="57" t="s">
        <v>466</v>
      </c>
      <c r="AM87" s="54" t="s">
        <v>25</v>
      </c>
      <c r="AN87" s="53"/>
      <c r="AO87" s="53" t="s">
        <v>155</v>
      </c>
      <c r="AP87" s="59" t="s">
        <v>488</v>
      </c>
      <c r="AQ87" s="53" t="s">
        <v>117</v>
      </c>
      <c r="AR87" s="53" t="s">
        <v>444</v>
      </c>
      <c r="AS87" s="53" t="s">
        <v>473</v>
      </c>
      <c r="AT87" s="53" t="s">
        <v>157</v>
      </c>
      <c r="AU87" s="56" t="s">
        <v>489</v>
      </c>
      <c r="AV87" s="53" t="s">
        <v>159</v>
      </c>
      <c r="AW87" s="53" t="s">
        <v>423</v>
      </c>
      <c r="AX87" s="53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customFormat="false" ht="76.5" hidden="false" customHeight="false" outlineLevel="0" collapsed="false">
      <c r="A88" s="17" t="s">
        <v>496</v>
      </c>
      <c r="B88" s="53" t="s">
        <v>443</v>
      </c>
      <c r="C88" s="53" t="s">
        <v>444</v>
      </c>
      <c r="D88" s="54" t="s">
        <v>445</v>
      </c>
      <c r="E88" s="55" t="s">
        <v>446</v>
      </c>
      <c r="F88" s="55" t="s">
        <v>447</v>
      </c>
      <c r="G88" s="54" t="s">
        <v>497</v>
      </c>
      <c r="H88" s="54" t="s">
        <v>246</v>
      </c>
      <c r="I88" s="20" t="n">
        <f aca="false">J88+P88+V88+AB88+AG88</f>
        <v>66088.8</v>
      </c>
      <c r="J88" s="20" t="n">
        <f aca="false">SUM(K88:O88)</f>
        <v>66088.8</v>
      </c>
      <c r="K88" s="56"/>
      <c r="L88" s="56" t="n">
        <v>66088.8</v>
      </c>
      <c r="M88" s="56"/>
      <c r="N88" s="56"/>
      <c r="O88" s="56"/>
      <c r="P88" s="21" t="n">
        <f aca="false">SUM(Q88:U88)</f>
        <v>0</v>
      </c>
      <c r="Q88" s="56"/>
      <c r="R88" s="56"/>
      <c r="S88" s="56"/>
      <c r="T88" s="56"/>
      <c r="U88" s="56"/>
      <c r="V88" s="21" t="n">
        <f aca="false">SUM(W88:AA88)</f>
        <v>0</v>
      </c>
      <c r="W88" s="56"/>
      <c r="X88" s="56"/>
      <c r="Y88" s="56"/>
      <c r="Z88" s="56"/>
      <c r="AA88" s="56"/>
      <c r="AB88" s="21" t="n">
        <f aca="false">SUM(AC88:AF88)</f>
        <v>0</v>
      </c>
      <c r="AC88" s="56"/>
      <c r="AD88" s="56"/>
      <c r="AE88" s="56"/>
      <c r="AF88" s="56"/>
      <c r="AG88" s="20" t="n">
        <f aca="false">SUM(AH88:AK88)</f>
        <v>0</v>
      </c>
      <c r="AH88" s="56"/>
      <c r="AI88" s="56"/>
      <c r="AJ88" s="56"/>
      <c r="AK88" s="56"/>
      <c r="AL88" s="15" t="s">
        <v>449</v>
      </c>
      <c r="AM88" s="54" t="s">
        <v>25</v>
      </c>
      <c r="AN88" s="54"/>
      <c r="AO88" s="54" t="s">
        <v>305</v>
      </c>
      <c r="AP88" s="54" t="s">
        <v>498</v>
      </c>
      <c r="AQ88" s="53" t="s">
        <v>444</v>
      </c>
      <c r="AR88" s="53" t="s">
        <v>444</v>
      </c>
      <c r="AS88" s="53" t="s">
        <v>444</v>
      </c>
      <c r="AT88" s="53" t="s">
        <v>444</v>
      </c>
      <c r="AU88" s="56" t="s">
        <v>499</v>
      </c>
      <c r="AV88" s="15" t="s">
        <v>53</v>
      </c>
      <c r="AW88" s="53" t="s">
        <v>131</v>
      </c>
      <c r="AX88" s="54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customFormat="false" ht="141" hidden="false" customHeight="true" outlineLevel="0" collapsed="false">
      <c r="A89" s="17" t="s">
        <v>500</v>
      </c>
      <c r="B89" s="53" t="s">
        <v>443</v>
      </c>
      <c r="C89" s="18" t="s">
        <v>41</v>
      </c>
      <c r="D89" s="22" t="s">
        <v>501</v>
      </c>
      <c r="E89" s="19" t="s">
        <v>454</v>
      </c>
      <c r="F89" s="55" t="s">
        <v>464</v>
      </c>
      <c r="G89" s="18" t="s">
        <v>502</v>
      </c>
      <c r="H89" s="18" t="s">
        <v>117</v>
      </c>
      <c r="I89" s="20" t="n">
        <f aca="false">J89+P89+V89+AB89+AG89</f>
        <v>419305.26583</v>
      </c>
      <c r="J89" s="20" t="n">
        <f aca="false">SUM(K89:O89)</f>
        <v>419305.26583</v>
      </c>
      <c r="K89" s="32" t="n">
        <v>402735</v>
      </c>
      <c r="L89" s="32" t="n">
        <f aca="false">51693-35241.97816+119.24399</f>
        <v>16570.26583</v>
      </c>
      <c r="M89" s="21"/>
      <c r="N89" s="21"/>
      <c r="O89" s="21"/>
      <c r="P89" s="21" t="n">
        <f aca="false">SUM(Q89:U89)</f>
        <v>0</v>
      </c>
      <c r="Q89" s="21"/>
      <c r="R89" s="21"/>
      <c r="S89" s="21"/>
      <c r="T89" s="21"/>
      <c r="U89" s="21"/>
      <c r="V89" s="21" t="n">
        <f aca="false">SUM(W89:AA89)</f>
        <v>0</v>
      </c>
      <c r="W89" s="21"/>
      <c r="X89" s="21"/>
      <c r="Y89" s="21"/>
      <c r="Z89" s="21"/>
      <c r="AA89" s="21"/>
      <c r="AB89" s="21" t="n">
        <f aca="false">SUM(AC89:AF89)</f>
        <v>0</v>
      </c>
      <c r="AC89" s="21"/>
      <c r="AD89" s="21"/>
      <c r="AE89" s="21"/>
      <c r="AF89" s="21"/>
      <c r="AG89" s="20" t="n">
        <f aca="false">SUM(AH89:AK89)</f>
        <v>0</v>
      </c>
      <c r="AH89" s="21"/>
      <c r="AI89" s="21"/>
      <c r="AJ89" s="21"/>
      <c r="AK89" s="21"/>
      <c r="AL89" s="18" t="s">
        <v>503</v>
      </c>
      <c r="AM89" s="18" t="s">
        <v>25</v>
      </c>
      <c r="AN89" s="18"/>
      <c r="AO89" s="18" t="s">
        <v>48</v>
      </c>
      <c r="AP89" s="18" t="s">
        <v>504</v>
      </c>
      <c r="AQ89" s="18" t="s">
        <v>50</v>
      </c>
      <c r="AR89" s="18" t="s">
        <v>444</v>
      </c>
      <c r="AS89" s="18" t="s">
        <v>41</v>
      </c>
      <c r="AT89" s="18" t="s">
        <v>50</v>
      </c>
      <c r="AU89" s="18" t="s">
        <v>505</v>
      </c>
      <c r="AV89" s="15" t="s">
        <v>53</v>
      </c>
      <c r="AW89" s="18" t="s">
        <v>54</v>
      </c>
      <c r="AX89" s="18" t="s">
        <v>506</v>
      </c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customFormat="false" ht="141" hidden="false" customHeight="true" outlineLevel="0" collapsed="false">
      <c r="A90" s="17" t="s">
        <v>507</v>
      </c>
      <c r="B90" s="53" t="s">
        <v>443</v>
      </c>
      <c r="C90" s="15" t="s">
        <v>444</v>
      </c>
      <c r="D90" s="15" t="s">
        <v>463</v>
      </c>
      <c r="E90" s="24" t="s">
        <v>454</v>
      </c>
      <c r="F90" s="15" t="s">
        <v>464</v>
      </c>
      <c r="G90" s="15" t="s">
        <v>508</v>
      </c>
      <c r="H90" s="15" t="s">
        <v>117</v>
      </c>
      <c r="I90" s="20" t="n">
        <f aca="false">J90+P90+V90+AB90+AG90</f>
        <v>161716.49772</v>
      </c>
      <c r="J90" s="20" t="n">
        <f aca="false">SUM(K90:O90)</f>
        <v>0</v>
      </c>
      <c r="K90" s="32"/>
      <c r="L90" s="32"/>
      <c r="M90" s="21"/>
      <c r="N90" s="21"/>
      <c r="O90" s="21"/>
      <c r="P90" s="21" t="n">
        <f aca="false">SUM(Q90:U90)</f>
        <v>161716.49772</v>
      </c>
      <c r="Q90" s="21"/>
      <c r="R90" s="46" t="n">
        <v>145544.84795</v>
      </c>
      <c r="S90" s="64" t="n">
        <v>16171.64977</v>
      </c>
      <c r="T90" s="21"/>
      <c r="U90" s="21"/>
      <c r="V90" s="21" t="n">
        <f aca="false">SUM(W90:AA90)</f>
        <v>0</v>
      </c>
      <c r="W90" s="21"/>
      <c r="X90" s="21"/>
      <c r="Y90" s="21"/>
      <c r="Z90" s="21"/>
      <c r="AA90" s="21"/>
      <c r="AB90" s="21" t="n">
        <f aca="false">SUM(AC90:AF90)</f>
        <v>0</v>
      </c>
      <c r="AC90" s="21"/>
      <c r="AD90" s="21"/>
      <c r="AE90" s="21"/>
      <c r="AF90" s="21"/>
      <c r="AG90" s="20" t="n">
        <f aca="false">SUM(AH90:AK90)</f>
        <v>0</v>
      </c>
      <c r="AH90" s="21"/>
      <c r="AI90" s="21"/>
      <c r="AJ90" s="21"/>
      <c r="AK90" s="21"/>
      <c r="AL90" s="15" t="s">
        <v>466</v>
      </c>
      <c r="AM90" s="24" t="s">
        <v>26</v>
      </c>
      <c r="AN90" s="24" t="s">
        <v>208</v>
      </c>
      <c r="AO90" s="24" t="s">
        <v>155</v>
      </c>
      <c r="AP90" s="15" t="s">
        <v>509</v>
      </c>
      <c r="AQ90" s="15" t="s">
        <v>510</v>
      </c>
      <c r="AR90" s="18" t="s">
        <v>444</v>
      </c>
      <c r="AS90" s="53" t="s">
        <v>473</v>
      </c>
      <c r="AT90" s="65" t="s">
        <v>157</v>
      </c>
      <c r="AU90" s="66" t="s">
        <v>511</v>
      </c>
      <c r="AV90" s="67" t="s">
        <v>441</v>
      </c>
      <c r="AW90" s="62" t="s">
        <v>54</v>
      </c>
      <c r="AX90" s="24" t="s">
        <v>512</v>
      </c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customFormat="false" ht="141" hidden="false" customHeight="true" outlineLevel="0" collapsed="false">
      <c r="A91" s="17" t="s">
        <v>513</v>
      </c>
      <c r="B91" s="53" t="s">
        <v>443</v>
      </c>
      <c r="C91" s="15" t="s">
        <v>444</v>
      </c>
      <c r="D91" s="15" t="s">
        <v>463</v>
      </c>
      <c r="E91" s="24" t="s">
        <v>454</v>
      </c>
      <c r="F91" s="15" t="s">
        <v>464</v>
      </c>
      <c r="G91" s="15" t="s">
        <v>514</v>
      </c>
      <c r="H91" s="62" t="s">
        <v>67</v>
      </c>
      <c r="I91" s="20" t="n">
        <f aca="false">J91+P91+V91+AB91+AG91</f>
        <v>3678.92777</v>
      </c>
      <c r="J91" s="20" t="n">
        <f aca="false">SUM(K91:O91)</f>
        <v>3678.92777</v>
      </c>
      <c r="K91" s="32"/>
      <c r="L91" s="46" t="n">
        <f aca="false">0+3428.92777+250</f>
        <v>3678.92777</v>
      </c>
      <c r="M91" s="21"/>
      <c r="N91" s="21"/>
      <c r="O91" s="21"/>
      <c r="P91" s="21" t="n">
        <f aca="false">SUM(Q91:U91)</f>
        <v>0</v>
      </c>
      <c r="Q91" s="21"/>
      <c r="R91" s="21"/>
      <c r="S91" s="21"/>
      <c r="T91" s="21"/>
      <c r="U91" s="21"/>
      <c r="V91" s="21" t="n">
        <f aca="false">SUM(W91:AA91)</f>
        <v>0</v>
      </c>
      <c r="W91" s="21"/>
      <c r="X91" s="21"/>
      <c r="Y91" s="21"/>
      <c r="Z91" s="21"/>
      <c r="AA91" s="21"/>
      <c r="AB91" s="21" t="n">
        <f aca="false">SUM(AC91:AF91)</f>
        <v>0</v>
      </c>
      <c r="AC91" s="21"/>
      <c r="AD91" s="21"/>
      <c r="AE91" s="21"/>
      <c r="AF91" s="21"/>
      <c r="AG91" s="20" t="n">
        <f aca="false">SUM(AH91:AK91)</f>
        <v>0</v>
      </c>
      <c r="AH91" s="21"/>
      <c r="AI91" s="21"/>
      <c r="AJ91" s="21"/>
      <c r="AK91" s="21"/>
      <c r="AL91" s="15" t="s">
        <v>466</v>
      </c>
      <c r="AM91" s="62" t="s">
        <v>26</v>
      </c>
      <c r="AN91" s="62" t="s">
        <v>515</v>
      </c>
      <c r="AO91" s="62" t="s">
        <v>48</v>
      </c>
      <c r="AP91" s="62" t="s">
        <v>516</v>
      </c>
      <c r="AQ91" s="62" t="s">
        <v>459</v>
      </c>
      <c r="AR91" s="18" t="s">
        <v>444</v>
      </c>
      <c r="AS91" s="62" t="s">
        <v>459</v>
      </c>
      <c r="AT91" s="62" t="s">
        <v>459</v>
      </c>
      <c r="AU91" s="66" t="s">
        <v>517</v>
      </c>
      <c r="AV91" s="62" t="s">
        <v>130</v>
      </c>
      <c r="AW91" s="62" t="s">
        <v>423</v>
      </c>
      <c r="AX91" s="67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customFormat="false" ht="141" hidden="false" customHeight="true" outlineLevel="0" collapsed="false">
      <c r="A92" s="17" t="s">
        <v>518</v>
      </c>
      <c r="B92" s="53" t="s">
        <v>443</v>
      </c>
      <c r="C92" s="15" t="s">
        <v>444</v>
      </c>
      <c r="D92" s="15" t="s">
        <v>463</v>
      </c>
      <c r="E92" s="24" t="s">
        <v>454</v>
      </c>
      <c r="F92" s="15" t="s">
        <v>464</v>
      </c>
      <c r="G92" s="15" t="s">
        <v>519</v>
      </c>
      <c r="H92" s="62" t="s">
        <v>67</v>
      </c>
      <c r="I92" s="20" t="n">
        <f aca="false">J92+P92+V92+AB92+AG92</f>
        <v>11848.589</v>
      </c>
      <c r="J92" s="20" t="n">
        <f aca="false">SUM(K92:O92)</f>
        <v>11848.589</v>
      </c>
      <c r="K92" s="32"/>
      <c r="L92" s="47" t="n">
        <f aca="false">0+11848.589</f>
        <v>11848.589</v>
      </c>
      <c r="M92" s="21"/>
      <c r="N92" s="21"/>
      <c r="O92" s="21"/>
      <c r="P92" s="21" t="n">
        <f aca="false">SUM(Q92:U92)</f>
        <v>0</v>
      </c>
      <c r="Q92" s="21"/>
      <c r="R92" s="21"/>
      <c r="S92" s="21"/>
      <c r="T92" s="21"/>
      <c r="U92" s="21"/>
      <c r="V92" s="21" t="n">
        <f aca="false">SUM(W92:AA92)</f>
        <v>0</v>
      </c>
      <c r="W92" s="21"/>
      <c r="X92" s="21"/>
      <c r="Y92" s="21"/>
      <c r="Z92" s="21"/>
      <c r="AA92" s="21"/>
      <c r="AB92" s="21" t="n">
        <f aca="false">SUM(AC92:AF92)</f>
        <v>0</v>
      </c>
      <c r="AC92" s="21"/>
      <c r="AD92" s="21"/>
      <c r="AE92" s="21"/>
      <c r="AF92" s="21"/>
      <c r="AG92" s="20" t="n">
        <f aca="false">SUM(AH92:AK92)</f>
        <v>0</v>
      </c>
      <c r="AH92" s="21"/>
      <c r="AI92" s="21"/>
      <c r="AJ92" s="21"/>
      <c r="AK92" s="21"/>
      <c r="AL92" s="15" t="s">
        <v>466</v>
      </c>
      <c r="AM92" s="62" t="s">
        <v>26</v>
      </c>
      <c r="AN92" s="62" t="s">
        <v>515</v>
      </c>
      <c r="AO92" s="62" t="s">
        <v>48</v>
      </c>
      <c r="AP92" s="62" t="s">
        <v>520</v>
      </c>
      <c r="AQ92" s="62" t="s">
        <v>459</v>
      </c>
      <c r="AR92" s="62" t="s">
        <v>444</v>
      </c>
      <c r="AS92" s="62" t="s">
        <v>459</v>
      </c>
      <c r="AT92" s="62" t="s">
        <v>459</v>
      </c>
      <c r="AU92" s="66" t="s">
        <v>521</v>
      </c>
      <c r="AV92" s="62" t="s">
        <v>130</v>
      </c>
      <c r="AW92" s="62" t="s">
        <v>423</v>
      </c>
      <c r="AX92" s="6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customFormat="false" ht="141" hidden="false" customHeight="true" outlineLevel="0" collapsed="false">
      <c r="A93" s="17" t="s">
        <v>522</v>
      </c>
      <c r="B93" s="53" t="s">
        <v>443</v>
      </c>
      <c r="C93" s="15" t="s">
        <v>444</v>
      </c>
      <c r="D93" s="15" t="s">
        <v>463</v>
      </c>
      <c r="E93" s="24" t="s">
        <v>454</v>
      </c>
      <c r="F93" s="15" t="s">
        <v>464</v>
      </c>
      <c r="G93" s="15" t="s">
        <v>523</v>
      </c>
      <c r="H93" s="15" t="s">
        <v>67</v>
      </c>
      <c r="I93" s="20" t="n">
        <f aca="false">J93+P93+V93+AB93+AG93</f>
        <v>133454.44773</v>
      </c>
      <c r="J93" s="20" t="n">
        <f aca="false">SUM(K93:O93)</f>
        <v>93364.65173</v>
      </c>
      <c r="K93" s="32"/>
      <c r="L93" s="46" t="n">
        <f aca="false">0+93364.65173</f>
        <v>93364.65173</v>
      </c>
      <c r="M93" s="21"/>
      <c r="N93" s="21"/>
      <c r="O93" s="21"/>
      <c r="P93" s="21" t="n">
        <f aca="false">SUM(Q93:U93)</f>
        <v>40089.796</v>
      </c>
      <c r="Q93" s="21"/>
      <c r="R93" s="21" t="n">
        <f aca="false">0+40089.796</f>
        <v>40089.796</v>
      </c>
      <c r="S93" s="21"/>
      <c r="T93" s="21"/>
      <c r="U93" s="21"/>
      <c r="V93" s="21" t="n">
        <f aca="false">SUM(W93:AA93)</f>
        <v>0</v>
      </c>
      <c r="W93" s="21"/>
      <c r="X93" s="21"/>
      <c r="Y93" s="21"/>
      <c r="Z93" s="21"/>
      <c r="AA93" s="21"/>
      <c r="AB93" s="21" t="n">
        <f aca="false">SUM(AC93:AF93)</f>
        <v>0</v>
      </c>
      <c r="AC93" s="21"/>
      <c r="AD93" s="21"/>
      <c r="AE93" s="21"/>
      <c r="AF93" s="21"/>
      <c r="AG93" s="20" t="n">
        <f aca="false">SUM(AH93:AK93)</f>
        <v>0</v>
      </c>
      <c r="AH93" s="21"/>
      <c r="AI93" s="21"/>
      <c r="AJ93" s="21"/>
      <c r="AK93" s="21"/>
      <c r="AL93" s="15" t="s">
        <v>466</v>
      </c>
      <c r="AM93" s="62" t="s">
        <v>25</v>
      </c>
      <c r="AN93" s="62" t="s">
        <v>524</v>
      </c>
      <c r="AO93" s="62" t="s">
        <v>48</v>
      </c>
      <c r="AP93" s="15" t="s">
        <v>525</v>
      </c>
      <c r="AQ93" s="62" t="s">
        <v>459</v>
      </c>
      <c r="AR93" s="15" t="s">
        <v>444</v>
      </c>
      <c r="AS93" s="62" t="s">
        <v>459</v>
      </c>
      <c r="AT93" s="62" t="s">
        <v>459</v>
      </c>
      <c r="AU93" s="15" t="s">
        <v>526</v>
      </c>
      <c r="AV93" s="15" t="s">
        <v>130</v>
      </c>
      <c r="AW93" s="15" t="s">
        <v>54</v>
      </c>
      <c r="AX93" s="15" t="s">
        <v>527</v>
      </c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customFormat="false" ht="141" hidden="false" customHeight="true" outlineLevel="0" collapsed="false">
      <c r="A94" s="17" t="s">
        <v>528</v>
      </c>
      <c r="B94" s="15" t="s">
        <v>443</v>
      </c>
      <c r="C94" s="15" t="s">
        <v>444</v>
      </c>
      <c r="D94" s="15" t="s">
        <v>463</v>
      </c>
      <c r="E94" s="24" t="s">
        <v>454</v>
      </c>
      <c r="F94" s="15" t="s">
        <v>464</v>
      </c>
      <c r="G94" s="15" t="s">
        <v>529</v>
      </c>
      <c r="H94" s="15" t="s">
        <v>117</v>
      </c>
      <c r="I94" s="46" t="n">
        <f aca="false">J94+P94+V94+AB94+AH94</f>
        <v>318565.96812</v>
      </c>
      <c r="J94" s="46" t="n">
        <f aca="false">SUM(K94:O94)</f>
        <v>318565.96812</v>
      </c>
      <c r="K94" s="46" t="n">
        <v>315380.30844</v>
      </c>
      <c r="L94" s="46"/>
      <c r="M94" s="46" t="n">
        <v>3185.65968</v>
      </c>
      <c r="N94" s="21"/>
      <c r="O94" s="21"/>
      <c r="P94" s="21" t="n">
        <f aca="false">SUM(Q94:U94)</f>
        <v>0</v>
      </c>
      <c r="Q94" s="21"/>
      <c r="R94" s="21"/>
      <c r="S94" s="21"/>
      <c r="T94" s="21"/>
      <c r="U94" s="21"/>
      <c r="V94" s="21" t="n">
        <f aca="false">SUM(W94:AA94)</f>
        <v>0</v>
      </c>
      <c r="W94" s="21"/>
      <c r="X94" s="21"/>
      <c r="Y94" s="21"/>
      <c r="Z94" s="21"/>
      <c r="AA94" s="21"/>
      <c r="AB94" s="21" t="n">
        <f aca="false">SUM(AC94:AF94)</f>
        <v>0</v>
      </c>
      <c r="AC94" s="21"/>
      <c r="AD94" s="21"/>
      <c r="AE94" s="21"/>
      <c r="AF94" s="21"/>
      <c r="AG94" s="20" t="n">
        <f aca="false">SUM(AH94:AK94)</f>
        <v>0</v>
      </c>
      <c r="AH94" s="21"/>
      <c r="AI94" s="21"/>
      <c r="AJ94" s="21"/>
      <c r="AK94" s="21"/>
      <c r="AL94" s="15" t="s">
        <v>466</v>
      </c>
      <c r="AM94" s="24" t="s">
        <v>25</v>
      </c>
      <c r="AN94" s="24" t="s">
        <v>208</v>
      </c>
      <c r="AO94" s="24" t="s">
        <v>155</v>
      </c>
      <c r="AP94" s="15" t="s">
        <v>530</v>
      </c>
      <c r="AQ94" s="15" t="s">
        <v>510</v>
      </c>
      <c r="AR94" s="15" t="s">
        <v>157</v>
      </c>
      <c r="AS94" s="15" t="s">
        <v>531</v>
      </c>
      <c r="AT94" s="65" t="s">
        <v>157</v>
      </c>
      <c r="AU94" s="62" t="s">
        <v>532</v>
      </c>
      <c r="AV94" s="67" t="s">
        <v>441</v>
      </c>
      <c r="AW94" s="62" t="s">
        <v>54</v>
      </c>
      <c r="AX94" s="67" t="s">
        <v>533</v>
      </c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customFormat="false" ht="141" hidden="false" customHeight="true" outlineLevel="0" collapsed="false">
      <c r="A95" s="17" t="s">
        <v>534</v>
      </c>
      <c r="B95" s="15" t="s">
        <v>443</v>
      </c>
      <c r="C95" s="15" t="s">
        <v>444</v>
      </c>
      <c r="D95" s="15" t="s">
        <v>463</v>
      </c>
      <c r="E95" s="24" t="s">
        <v>454</v>
      </c>
      <c r="F95" s="15" t="s">
        <v>464</v>
      </c>
      <c r="G95" s="62" t="s">
        <v>535</v>
      </c>
      <c r="H95" s="68" t="s">
        <v>58</v>
      </c>
      <c r="I95" s="46" t="n">
        <f aca="false">J95+P95+V95+AB95+AH95</f>
        <v>130</v>
      </c>
      <c r="J95" s="46" t="n">
        <f aca="false">SUM(K95:O95)</f>
        <v>130</v>
      </c>
      <c r="K95" s="66"/>
      <c r="L95" s="69" t="n">
        <v>130</v>
      </c>
      <c r="M95" s="61"/>
      <c r="N95" s="61"/>
      <c r="O95" s="61"/>
      <c r="P95" s="21" t="n">
        <f aca="false">SUM(Q95:U95)</f>
        <v>0</v>
      </c>
      <c r="Q95" s="61"/>
      <c r="R95" s="66"/>
      <c r="S95" s="61"/>
      <c r="T95" s="61"/>
      <c r="U95" s="61"/>
      <c r="V95" s="21" t="n">
        <f aca="false">SUM(W95:AA95)</f>
        <v>0</v>
      </c>
      <c r="W95" s="61"/>
      <c r="X95" s="61"/>
      <c r="Y95" s="61"/>
      <c r="Z95" s="61"/>
      <c r="AA95" s="61"/>
      <c r="AB95" s="21" t="n">
        <f aca="false">SUM(AC95:AF95)</f>
        <v>0</v>
      </c>
      <c r="AC95" s="61"/>
      <c r="AD95" s="61"/>
      <c r="AE95" s="61"/>
      <c r="AF95" s="61"/>
      <c r="AG95" s="20" t="n">
        <f aca="false">SUM(AH95:AK95)</f>
        <v>0</v>
      </c>
      <c r="AH95" s="61"/>
      <c r="AI95" s="61"/>
      <c r="AJ95" s="61"/>
      <c r="AK95" s="61"/>
      <c r="AL95" s="70" t="s">
        <v>466</v>
      </c>
      <c r="AM95" s="62" t="s">
        <v>25</v>
      </c>
      <c r="AN95" s="62"/>
      <c r="AO95" s="62" t="s">
        <v>48</v>
      </c>
      <c r="AP95" s="62" t="s">
        <v>536</v>
      </c>
      <c r="AQ95" s="62" t="s">
        <v>537</v>
      </c>
      <c r="AR95" s="62" t="s">
        <v>444</v>
      </c>
      <c r="AS95" s="62" t="s">
        <v>537</v>
      </c>
      <c r="AT95" s="62" t="s">
        <v>537</v>
      </c>
      <c r="AU95" s="66" t="s">
        <v>538</v>
      </c>
      <c r="AV95" s="15" t="s">
        <v>53</v>
      </c>
      <c r="AW95" s="15" t="s">
        <v>63</v>
      </c>
      <c r="AX95" s="62" t="s">
        <v>539</v>
      </c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customFormat="false" ht="141" hidden="false" customHeight="true" outlineLevel="0" collapsed="false">
      <c r="A96" s="17" t="s">
        <v>540</v>
      </c>
      <c r="B96" s="15" t="s">
        <v>443</v>
      </c>
      <c r="C96" s="15" t="s">
        <v>444</v>
      </c>
      <c r="D96" s="15" t="s">
        <v>463</v>
      </c>
      <c r="E96" s="24" t="s">
        <v>454</v>
      </c>
      <c r="F96" s="15" t="s">
        <v>464</v>
      </c>
      <c r="G96" s="22" t="s">
        <v>541</v>
      </c>
      <c r="H96" s="62" t="s">
        <v>58</v>
      </c>
      <c r="I96" s="46" t="n">
        <f aca="false">J96+P96+V96+AB96+AH96</f>
        <v>130</v>
      </c>
      <c r="J96" s="46" t="n">
        <f aca="false">SUM(K96:O96)</f>
        <v>130</v>
      </c>
      <c r="K96" s="71"/>
      <c r="L96" s="71" t="n">
        <v>130</v>
      </c>
      <c r="M96" s="40"/>
      <c r="N96" s="40"/>
      <c r="O96" s="40"/>
      <c r="P96" s="21" t="n">
        <f aca="false">SUM(Q96:U96)</f>
        <v>0</v>
      </c>
      <c r="Q96" s="40"/>
      <c r="R96" s="40"/>
      <c r="S96" s="40"/>
      <c r="T96" s="40"/>
      <c r="U96" s="40"/>
      <c r="V96" s="21" t="n">
        <f aca="false">SUM(W96:AA96)</f>
        <v>0</v>
      </c>
      <c r="W96" s="40"/>
      <c r="X96" s="40"/>
      <c r="Y96" s="40"/>
      <c r="Z96" s="40"/>
      <c r="AA96" s="40"/>
      <c r="AB96" s="21" t="n">
        <f aca="false">SUM(AC96:AF96)</f>
        <v>0</v>
      </c>
      <c r="AC96" s="40"/>
      <c r="AD96" s="40"/>
      <c r="AE96" s="40"/>
      <c r="AF96" s="40"/>
      <c r="AG96" s="20" t="n">
        <f aca="false">SUM(AH96:AK96)</f>
        <v>0</v>
      </c>
      <c r="AH96" s="40"/>
      <c r="AI96" s="40"/>
      <c r="AJ96" s="40"/>
      <c r="AK96" s="40"/>
      <c r="AL96" s="15" t="s">
        <v>466</v>
      </c>
      <c r="AM96" s="72" t="s">
        <v>25</v>
      </c>
      <c r="AN96" s="72"/>
      <c r="AO96" s="72" t="s">
        <v>48</v>
      </c>
      <c r="AP96" s="72" t="s">
        <v>542</v>
      </c>
      <c r="AQ96" s="72" t="s">
        <v>537</v>
      </c>
      <c r="AR96" s="22" t="s">
        <v>444</v>
      </c>
      <c r="AS96" s="72" t="s">
        <v>537</v>
      </c>
      <c r="AT96" s="72" t="s">
        <v>537</v>
      </c>
      <c r="AU96" s="73" t="s">
        <v>543</v>
      </c>
      <c r="AV96" s="72" t="s">
        <v>130</v>
      </c>
      <c r="AW96" s="15" t="s">
        <v>63</v>
      </c>
      <c r="AX96" s="24" t="s">
        <v>544</v>
      </c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customFormat="false" ht="141" hidden="false" customHeight="true" outlineLevel="0" collapsed="false">
      <c r="A97" s="17" t="s">
        <v>545</v>
      </c>
      <c r="B97" s="15" t="s">
        <v>443</v>
      </c>
      <c r="C97" s="15" t="s">
        <v>444</v>
      </c>
      <c r="D97" s="15" t="s">
        <v>463</v>
      </c>
      <c r="E97" s="42" t="s">
        <v>454</v>
      </c>
      <c r="F97" s="26" t="s">
        <v>464</v>
      </c>
      <c r="G97" s="26" t="s">
        <v>546</v>
      </c>
      <c r="H97" s="74" t="s">
        <v>117</v>
      </c>
      <c r="I97" s="46" t="n">
        <f aca="false">J97+P97+V97+AB97+AH97</f>
        <v>5454.17392</v>
      </c>
      <c r="J97" s="46" t="n">
        <f aca="false">SUM(K97:O97)</f>
        <v>0</v>
      </c>
      <c r="K97" s="66"/>
      <c r="L97" s="69"/>
      <c r="M97" s="61"/>
      <c r="N97" s="61"/>
      <c r="O97" s="61"/>
      <c r="P97" s="21" t="n">
        <f aca="false">SUM(Q97:U97)</f>
        <v>5454.17392</v>
      </c>
      <c r="Q97" s="61"/>
      <c r="R97" s="66" t="n">
        <f aca="false">0+4908.756528</f>
        <v>4908.756528</v>
      </c>
      <c r="S97" s="61" t="n">
        <f aca="false">0+545.417392</f>
        <v>545.417392</v>
      </c>
      <c r="T97" s="61"/>
      <c r="U97" s="61"/>
      <c r="V97" s="21" t="n">
        <f aca="false">SUM(W97:AA97)</f>
        <v>0</v>
      </c>
      <c r="W97" s="61"/>
      <c r="X97" s="61"/>
      <c r="Y97" s="61"/>
      <c r="Z97" s="61"/>
      <c r="AA97" s="61"/>
      <c r="AB97" s="21" t="n">
        <f aca="false">SUM(AC97:AF97)</f>
        <v>0</v>
      </c>
      <c r="AC97" s="61"/>
      <c r="AD97" s="61"/>
      <c r="AE97" s="61"/>
      <c r="AF97" s="61"/>
      <c r="AG97" s="20" t="n">
        <f aca="false">SUM(AH97:AK97)</f>
        <v>0</v>
      </c>
      <c r="AH97" s="61"/>
      <c r="AI97" s="61"/>
      <c r="AJ97" s="61"/>
      <c r="AK97" s="61"/>
      <c r="AL97" s="75" t="s">
        <v>466</v>
      </c>
      <c r="AM97" s="76"/>
      <c r="AN97" s="74" t="s">
        <v>26</v>
      </c>
      <c r="AO97" s="77" t="s">
        <v>155</v>
      </c>
      <c r="AP97" s="26" t="s">
        <v>547</v>
      </c>
      <c r="AQ97" s="74" t="s">
        <v>117</v>
      </c>
      <c r="AR97" s="74" t="s">
        <v>444</v>
      </c>
      <c r="AS97" s="74" t="s">
        <v>473</v>
      </c>
      <c r="AT97" s="74" t="s">
        <v>157</v>
      </c>
      <c r="AU97" s="78"/>
      <c r="AV97" s="74" t="s">
        <v>159</v>
      </c>
      <c r="AW97" s="74" t="s">
        <v>90</v>
      </c>
      <c r="AX97" s="6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customFormat="false" ht="126.75" hidden="false" customHeight="true" outlineLevel="0" collapsed="false">
      <c r="A98" s="17" t="s">
        <v>548</v>
      </c>
      <c r="B98" s="14" t="s">
        <v>549</v>
      </c>
      <c r="C98" s="14" t="s">
        <v>550</v>
      </c>
      <c r="D98" s="14" t="s">
        <v>551</v>
      </c>
      <c r="E98" s="17" t="s">
        <v>552</v>
      </c>
      <c r="F98" s="26" t="s">
        <v>553</v>
      </c>
      <c r="G98" s="14" t="s">
        <v>554</v>
      </c>
      <c r="H98" s="14" t="s">
        <v>555</v>
      </c>
      <c r="I98" s="20" t="n">
        <f aca="false">J98+P98+V98+AB98+AG98</f>
        <v>190031.2014</v>
      </c>
      <c r="J98" s="20" t="n">
        <f aca="false">SUM(K98:O98)</f>
        <v>0</v>
      </c>
      <c r="K98" s="20"/>
      <c r="L98" s="20"/>
      <c r="M98" s="20"/>
      <c r="N98" s="20"/>
      <c r="O98" s="20"/>
      <c r="P98" s="21" t="n">
        <f aca="false">SUM(Q98:U98)</f>
        <v>0</v>
      </c>
      <c r="Q98" s="20"/>
      <c r="R98" s="20"/>
      <c r="S98" s="20"/>
      <c r="T98" s="20"/>
      <c r="U98" s="20"/>
      <c r="V98" s="21" t="n">
        <f aca="false">SUM(W98:AA98)</f>
        <v>55031.2014</v>
      </c>
      <c r="W98" s="20"/>
      <c r="X98" s="20" t="n">
        <f aca="false">16200+38831.2014</f>
        <v>55031.2014</v>
      </c>
      <c r="Y98" s="20"/>
      <c r="Z98" s="20"/>
      <c r="AA98" s="20"/>
      <c r="AB98" s="21" t="n">
        <f aca="false">SUM(AC98:AF98)</f>
        <v>135000</v>
      </c>
      <c r="AC98" s="20" t="n">
        <v>118800</v>
      </c>
      <c r="AD98" s="20" t="n">
        <v>16200</v>
      </c>
      <c r="AE98" s="20"/>
      <c r="AF98" s="20"/>
      <c r="AG98" s="20" t="n">
        <f aca="false">SUM(AH98:AK98)</f>
        <v>0</v>
      </c>
      <c r="AH98" s="20"/>
      <c r="AI98" s="20"/>
      <c r="AJ98" s="20"/>
      <c r="AK98" s="20"/>
      <c r="AL98" s="26" t="s">
        <v>556</v>
      </c>
      <c r="AM98" s="26" t="s">
        <v>28</v>
      </c>
      <c r="AN98" s="26"/>
      <c r="AO98" s="14" t="s">
        <v>48</v>
      </c>
      <c r="AP98" s="14" t="s">
        <v>557</v>
      </c>
      <c r="AQ98" s="14" t="s">
        <v>550</v>
      </c>
      <c r="AR98" s="14" t="s">
        <v>550</v>
      </c>
      <c r="AS98" s="14" t="s">
        <v>550</v>
      </c>
      <c r="AT98" s="14" t="s">
        <v>550</v>
      </c>
      <c r="AU98" s="34" t="s">
        <v>558</v>
      </c>
      <c r="AV98" s="14" t="s">
        <v>159</v>
      </c>
      <c r="AW98" s="14" t="s">
        <v>423</v>
      </c>
      <c r="AX98" s="16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customFormat="false" ht="123" hidden="false" customHeight="true" outlineLevel="0" collapsed="false">
      <c r="A99" s="17" t="s">
        <v>559</v>
      </c>
      <c r="B99" s="14" t="s">
        <v>549</v>
      </c>
      <c r="C99" s="14" t="s">
        <v>550</v>
      </c>
      <c r="D99" s="14" t="s">
        <v>551</v>
      </c>
      <c r="E99" s="17" t="s">
        <v>552</v>
      </c>
      <c r="F99" s="26" t="s">
        <v>553</v>
      </c>
      <c r="G99" s="14" t="s">
        <v>560</v>
      </c>
      <c r="H99" s="14" t="s">
        <v>555</v>
      </c>
      <c r="I99" s="20" t="n">
        <f aca="false">J99+P99+V99+AB99+AG99</f>
        <v>21000</v>
      </c>
      <c r="J99" s="20" t="n">
        <f aca="false">SUM(K99:O99)</f>
        <v>0</v>
      </c>
      <c r="K99" s="20"/>
      <c r="L99" s="20" t="n">
        <f aca="false">3359.99813-3314.58814-45.40999</f>
        <v>0</v>
      </c>
      <c r="M99" s="20"/>
      <c r="N99" s="20"/>
      <c r="O99" s="20"/>
      <c r="P99" s="21" t="n">
        <f aca="false">SUM(Q99:U99)</f>
        <v>21000</v>
      </c>
      <c r="Q99" s="20"/>
      <c r="R99" s="20" t="n">
        <f aca="false">0+21000</f>
        <v>21000</v>
      </c>
      <c r="S99" s="20"/>
      <c r="T99" s="20"/>
      <c r="U99" s="20"/>
      <c r="V99" s="21" t="n">
        <f aca="false">SUM(W99:AA99)</f>
        <v>0</v>
      </c>
      <c r="W99" s="20"/>
      <c r="X99" s="20"/>
      <c r="Y99" s="20"/>
      <c r="Z99" s="20"/>
      <c r="AA99" s="20"/>
      <c r="AB99" s="21" t="n">
        <f aca="false">SUM(AC99:AF99)</f>
        <v>0</v>
      </c>
      <c r="AC99" s="20"/>
      <c r="AD99" s="20"/>
      <c r="AE99" s="20"/>
      <c r="AF99" s="20"/>
      <c r="AG99" s="20" t="n">
        <f aca="false">SUM(AH99:AK99)</f>
        <v>0</v>
      </c>
      <c r="AH99" s="20"/>
      <c r="AI99" s="20"/>
      <c r="AJ99" s="20"/>
      <c r="AK99" s="20"/>
      <c r="AL99" s="26" t="s">
        <v>556</v>
      </c>
      <c r="AM99" s="26"/>
      <c r="AN99" s="26" t="s">
        <v>25</v>
      </c>
      <c r="AO99" s="14" t="s">
        <v>48</v>
      </c>
      <c r="AP99" s="14" t="s">
        <v>557</v>
      </c>
      <c r="AQ99" s="14" t="s">
        <v>550</v>
      </c>
      <c r="AR99" s="14" t="s">
        <v>550</v>
      </c>
      <c r="AS99" s="14" t="s">
        <v>550</v>
      </c>
      <c r="AT99" s="14" t="s">
        <v>550</v>
      </c>
      <c r="AU99" s="34"/>
      <c r="AV99" s="14" t="s">
        <v>159</v>
      </c>
      <c r="AW99" s="14" t="s">
        <v>90</v>
      </c>
      <c r="AX99" s="16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customFormat="false" ht="124.6" hidden="false" customHeight="false" outlineLevel="0" collapsed="false">
      <c r="A100" s="17" t="s">
        <v>561</v>
      </c>
      <c r="B100" s="14" t="s">
        <v>562</v>
      </c>
      <c r="C100" s="14" t="s">
        <v>563</v>
      </c>
      <c r="D100" s="14" t="s">
        <v>564</v>
      </c>
      <c r="E100" s="17" t="s">
        <v>565</v>
      </c>
      <c r="F100" s="16" t="s">
        <v>566</v>
      </c>
      <c r="G100" s="14" t="s">
        <v>567</v>
      </c>
      <c r="H100" s="14" t="s">
        <v>568</v>
      </c>
      <c r="I100" s="20" t="n">
        <f aca="false">J100+P100+V100+AB100+AG100</f>
        <v>67814.87341</v>
      </c>
      <c r="J100" s="20" t="n">
        <f aca="false">SUM(K100:O100)</f>
        <v>67814.87341</v>
      </c>
      <c r="K100" s="20"/>
      <c r="L100" s="20" t="n">
        <f aca="false">64320.9+3493.97341</f>
        <v>67814.87341</v>
      </c>
      <c r="M100" s="20"/>
      <c r="N100" s="20"/>
      <c r="O100" s="20"/>
      <c r="P100" s="21" t="n">
        <f aca="false">SUM(Q100:U100)</f>
        <v>0</v>
      </c>
      <c r="Q100" s="20"/>
      <c r="R100" s="20"/>
      <c r="S100" s="20"/>
      <c r="T100" s="20"/>
      <c r="U100" s="20"/>
      <c r="V100" s="21" t="n">
        <f aca="false">SUM(W100:AA100)</f>
        <v>0</v>
      </c>
      <c r="W100" s="20"/>
      <c r="X100" s="20"/>
      <c r="Y100" s="20"/>
      <c r="Z100" s="20"/>
      <c r="AA100" s="20"/>
      <c r="AB100" s="21" t="n">
        <f aca="false">SUM(AC100:AF100)</f>
        <v>0</v>
      </c>
      <c r="AC100" s="20"/>
      <c r="AD100" s="20"/>
      <c r="AE100" s="20"/>
      <c r="AF100" s="20"/>
      <c r="AG100" s="20" t="n">
        <f aca="false">SUM(AH100:AK100)</f>
        <v>0</v>
      </c>
      <c r="AH100" s="20"/>
      <c r="AI100" s="20"/>
      <c r="AJ100" s="20"/>
      <c r="AK100" s="20"/>
      <c r="AL100" s="14" t="s">
        <v>569</v>
      </c>
      <c r="AM100" s="14" t="s">
        <v>25</v>
      </c>
      <c r="AN100" s="14"/>
      <c r="AO100" s="14" t="s">
        <v>48</v>
      </c>
      <c r="AP100" s="16" t="s">
        <v>570</v>
      </c>
      <c r="AQ100" s="14" t="s">
        <v>571</v>
      </c>
      <c r="AR100" s="14" t="s">
        <v>563</v>
      </c>
      <c r="AS100" s="14" t="s">
        <v>571</v>
      </c>
      <c r="AT100" s="14" t="s">
        <v>571</v>
      </c>
      <c r="AU100" s="16" t="s">
        <v>572</v>
      </c>
      <c r="AV100" s="15" t="s">
        <v>53</v>
      </c>
      <c r="AW100" s="16" t="s">
        <v>54</v>
      </c>
      <c r="AX100" s="14" t="s">
        <v>573</v>
      </c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customFormat="false" ht="124.6" hidden="false" customHeight="false" outlineLevel="0" collapsed="false">
      <c r="A101" s="17" t="s">
        <v>574</v>
      </c>
      <c r="B101" s="14" t="s">
        <v>562</v>
      </c>
      <c r="C101" s="14" t="s">
        <v>563</v>
      </c>
      <c r="D101" s="14" t="s">
        <v>564</v>
      </c>
      <c r="E101" s="17" t="s">
        <v>565</v>
      </c>
      <c r="F101" s="16" t="s">
        <v>566</v>
      </c>
      <c r="G101" s="14" t="s">
        <v>575</v>
      </c>
      <c r="H101" s="16" t="s">
        <v>576</v>
      </c>
      <c r="I101" s="20" t="n">
        <f aca="false">J101+P101+V101+AB101+AG101</f>
        <v>9820.61473</v>
      </c>
      <c r="J101" s="20" t="n">
        <f aca="false">SUM(K101:O101)</f>
        <v>9820.61473</v>
      </c>
      <c r="K101" s="20"/>
      <c r="L101" s="20" t="n">
        <f aca="false">10000-3493.97341+3314.58814</f>
        <v>9820.61473</v>
      </c>
      <c r="M101" s="25"/>
      <c r="N101" s="25"/>
      <c r="O101" s="25"/>
      <c r="P101" s="21" t="n">
        <f aca="false">SUM(Q101:U101)</f>
        <v>0</v>
      </c>
      <c r="Q101" s="25"/>
      <c r="R101" s="25"/>
      <c r="S101" s="25"/>
      <c r="T101" s="25"/>
      <c r="U101" s="25"/>
      <c r="V101" s="21" t="n">
        <f aca="false">SUM(W101:AA101)</f>
        <v>0</v>
      </c>
      <c r="W101" s="25"/>
      <c r="X101" s="25"/>
      <c r="Y101" s="25"/>
      <c r="Z101" s="25"/>
      <c r="AA101" s="25"/>
      <c r="AB101" s="21" t="n">
        <f aca="false">SUM(AC101:AF101)</f>
        <v>0</v>
      </c>
      <c r="AC101" s="25"/>
      <c r="AD101" s="25"/>
      <c r="AE101" s="25"/>
      <c r="AF101" s="25"/>
      <c r="AG101" s="20" t="n">
        <f aca="false">SUM(AH101:AK101)</f>
        <v>0</v>
      </c>
      <c r="AH101" s="25"/>
      <c r="AI101" s="25"/>
      <c r="AJ101" s="25"/>
      <c r="AK101" s="25"/>
      <c r="AL101" s="16" t="s">
        <v>577</v>
      </c>
      <c r="AM101" s="14"/>
      <c r="AN101" s="14" t="s">
        <v>25</v>
      </c>
      <c r="AO101" s="14" t="s">
        <v>48</v>
      </c>
      <c r="AP101" s="16" t="s">
        <v>570</v>
      </c>
      <c r="AQ101" s="14" t="s">
        <v>571</v>
      </c>
      <c r="AR101" s="14" t="s">
        <v>563</v>
      </c>
      <c r="AS101" s="14" t="s">
        <v>571</v>
      </c>
      <c r="AT101" s="14" t="s">
        <v>571</v>
      </c>
      <c r="AU101" s="14"/>
      <c r="AV101" s="15" t="s">
        <v>53</v>
      </c>
      <c r="AW101" s="14" t="s">
        <v>387</v>
      </c>
      <c r="AX101" s="14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customFormat="false" ht="124.6" hidden="false" customHeight="false" outlineLevel="0" collapsed="false">
      <c r="A102" s="17" t="s">
        <v>578</v>
      </c>
      <c r="B102" s="14" t="s">
        <v>562</v>
      </c>
      <c r="C102" s="14" t="s">
        <v>563</v>
      </c>
      <c r="D102" s="14" t="s">
        <v>564</v>
      </c>
      <c r="E102" s="17" t="s">
        <v>565</v>
      </c>
      <c r="F102" s="16" t="s">
        <v>566</v>
      </c>
      <c r="G102" s="14" t="s">
        <v>579</v>
      </c>
      <c r="H102" s="14" t="s">
        <v>313</v>
      </c>
      <c r="I102" s="20" t="n">
        <f aca="false">J102+P102+V102+AB102+AG102</f>
        <v>14900</v>
      </c>
      <c r="J102" s="20" t="n">
        <f aca="false">SUM(K102:O102)</f>
        <v>0</v>
      </c>
      <c r="K102" s="20"/>
      <c r="L102" s="20"/>
      <c r="M102" s="20"/>
      <c r="N102" s="20"/>
      <c r="O102" s="20"/>
      <c r="P102" s="21" t="n">
        <f aca="false">SUM(Q102:U102)</f>
        <v>14900</v>
      </c>
      <c r="Q102" s="20"/>
      <c r="R102" s="20" t="n">
        <v>14900</v>
      </c>
      <c r="S102" s="20"/>
      <c r="T102" s="20"/>
      <c r="U102" s="20"/>
      <c r="V102" s="21" t="n">
        <f aca="false">SUM(W102:AA102)</f>
        <v>0</v>
      </c>
      <c r="W102" s="20"/>
      <c r="X102" s="20"/>
      <c r="Y102" s="20"/>
      <c r="Z102" s="20"/>
      <c r="AA102" s="20"/>
      <c r="AB102" s="21" t="n">
        <f aca="false">SUM(AC102:AF102)</f>
        <v>0</v>
      </c>
      <c r="AC102" s="20"/>
      <c r="AD102" s="20"/>
      <c r="AE102" s="20"/>
      <c r="AF102" s="20"/>
      <c r="AG102" s="20" t="n">
        <f aca="false">SUM(AH102:AK102)</f>
        <v>0</v>
      </c>
      <c r="AH102" s="20"/>
      <c r="AI102" s="20"/>
      <c r="AJ102" s="20"/>
      <c r="AK102" s="20"/>
      <c r="AL102" s="14" t="s">
        <v>569</v>
      </c>
      <c r="AM102" s="14" t="s">
        <v>26</v>
      </c>
      <c r="AN102" s="14"/>
      <c r="AO102" s="14" t="s">
        <v>48</v>
      </c>
      <c r="AP102" s="16" t="s">
        <v>580</v>
      </c>
      <c r="AQ102" s="14" t="s">
        <v>571</v>
      </c>
      <c r="AR102" s="14" t="s">
        <v>563</v>
      </c>
      <c r="AS102" s="14" t="s">
        <v>571</v>
      </c>
      <c r="AT102" s="14" t="s">
        <v>571</v>
      </c>
      <c r="AU102" s="16" t="s">
        <v>581</v>
      </c>
      <c r="AV102" s="15" t="s">
        <v>53</v>
      </c>
      <c r="AW102" s="16" t="s">
        <v>195</v>
      </c>
      <c r="AX102" s="14" t="s">
        <v>582</v>
      </c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customFormat="false" ht="112.5" hidden="false" customHeight="true" outlineLevel="0" collapsed="false">
      <c r="A103" s="17" t="s">
        <v>583</v>
      </c>
      <c r="B103" s="14" t="s">
        <v>584</v>
      </c>
      <c r="C103" s="14" t="s">
        <v>308</v>
      </c>
      <c r="D103" s="14" t="s">
        <v>585</v>
      </c>
      <c r="E103" s="17" t="s">
        <v>586</v>
      </c>
      <c r="F103" s="14" t="s">
        <v>587</v>
      </c>
      <c r="G103" s="14" t="s">
        <v>588</v>
      </c>
      <c r="H103" s="14" t="s">
        <v>589</v>
      </c>
      <c r="I103" s="20" t="n">
        <f aca="false">J103+P103+V103+AB103+AG103</f>
        <v>559860.84585</v>
      </c>
      <c r="J103" s="20" t="n">
        <f aca="false">SUM(K103:O103)</f>
        <v>9860.84585</v>
      </c>
      <c r="K103" s="20"/>
      <c r="L103" s="25" t="n">
        <v>9850.985</v>
      </c>
      <c r="M103" s="20" t="n">
        <v>9.86085</v>
      </c>
      <c r="N103" s="20"/>
      <c r="O103" s="20"/>
      <c r="P103" s="21" t="n">
        <f aca="false">SUM(Q103:U103)</f>
        <v>150000</v>
      </c>
      <c r="Q103" s="20"/>
      <c r="R103" s="25" t="n">
        <v>149850</v>
      </c>
      <c r="S103" s="25" t="n">
        <v>150</v>
      </c>
      <c r="T103" s="20"/>
      <c r="U103" s="20"/>
      <c r="V103" s="21" t="n">
        <f aca="false">SUM(W103:AA103)</f>
        <v>200000</v>
      </c>
      <c r="W103" s="20"/>
      <c r="X103" s="25" t="n">
        <v>199800</v>
      </c>
      <c r="Y103" s="25" t="n">
        <v>200</v>
      </c>
      <c r="Z103" s="20"/>
      <c r="AA103" s="20"/>
      <c r="AB103" s="21" t="n">
        <f aca="false">SUM(AC103:AF103)</f>
        <v>200000</v>
      </c>
      <c r="AC103" s="20"/>
      <c r="AD103" s="25" t="n">
        <v>199800</v>
      </c>
      <c r="AE103" s="25" t="n">
        <v>200</v>
      </c>
      <c r="AF103" s="20"/>
      <c r="AG103" s="20" t="n">
        <f aca="false">SUM(AH103:AK103)</f>
        <v>0</v>
      </c>
      <c r="AH103" s="20"/>
      <c r="AI103" s="20"/>
      <c r="AJ103" s="20"/>
      <c r="AK103" s="20"/>
      <c r="AL103" s="26" t="s">
        <v>590</v>
      </c>
      <c r="AM103" s="79"/>
      <c r="AN103" s="26" t="s">
        <v>25</v>
      </c>
      <c r="AO103" s="26" t="s">
        <v>155</v>
      </c>
      <c r="AP103" s="26" t="s">
        <v>591</v>
      </c>
      <c r="AQ103" s="26" t="s">
        <v>139</v>
      </c>
      <c r="AR103" s="26" t="s">
        <v>308</v>
      </c>
      <c r="AS103" s="26" t="s">
        <v>592</v>
      </c>
      <c r="AT103" s="26" t="s">
        <v>592</v>
      </c>
      <c r="AU103" s="29"/>
      <c r="AV103" s="26" t="s">
        <v>159</v>
      </c>
      <c r="AW103" s="29" t="s">
        <v>102</v>
      </c>
      <c r="AX103" s="29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customFormat="false" ht="93.75" hidden="false" customHeight="true" outlineLevel="0" collapsed="false">
      <c r="A104" s="17" t="s">
        <v>593</v>
      </c>
      <c r="B104" s="14" t="s">
        <v>584</v>
      </c>
      <c r="C104" s="14" t="s">
        <v>308</v>
      </c>
      <c r="D104" s="14" t="s">
        <v>585</v>
      </c>
      <c r="E104" s="17" t="s">
        <v>586</v>
      </c>
      <c r="F104" s="14" t="s">
        <v>594</v>
      </c>
      <c r="G104" s="14" t="s">
        <v>595</v>
      </c>
      <c r="H104" s="14" t="s">
        <v>117</v>
      </c>
      <c r="I104" s="20" t="n">
        <f aca="false">J104+P104+V104+AB104+AG104</f>
        <v>2547056.6629</v>
      </c>
      <c r="J104" s="20" t="n">
        <f aca="false">SUM(K104:O104)</f>
        <v>2547056.6629</v>
      </c>
      <c r="K104" s="20"/>
      <c r="L104" s="20" t="n">
        <f aca="false">197550-100493.3371</f>
        <v>97056.6629</v>
      </c>
      <c r="M104" s="20"/>
      <c r="N104" s="20"/>
      <c r="O104" s="20" t="n">
        <v>2450000</v>
      </c>
      <c r="P104" s="21" t="n">
        <f aca="false">SUM(Q104:U104)</f>
        <v>0</v>
      </c>
      <c r="Q104" s="20"/>
      <c r="R104" s="20"/>
      <c r="S104" s="20"/>
      <c r="T104" s="20"/>
      <c r="U104" s="20"/>
      <c r="V104" s="21" t="n">
        <f aca="false">SUM(W104:AA104)</f>
        <v>0</v>
      </c>
      <c r="W104" s="20"/>
      <c r="X104" s="20"/>
      <c r="Y104" s="20"/>
      <c r="Z104" s="20"/>
      <c r="AA104" s="20"/>
      <c r="AB104" s="21" t="n">
        <f aca="false">SUM(AC104:AF104)</f>
        <v>0</v>
      </c>
      <c r="AC104" s="20"/>
      <c r="AD104" s="20"/>
      <c r="AE104" s="20"/>
      <c r="AF104" s="20"/>
      <c r="AG104" s="20" t="n">
        <f aca="false">SUM(AH104:AK104)</f>
        <v>0</v>
      </c>
      <c r="AH104" s="20"/>
      <c r="AI104" s="20"/>
      <c r="AJ104" s="20"/>
      <c r="AK104" s="20"/>
      <c r="AL104" s="26" t="s">
        <v>590</v>
      </c>
      <c r="AM104" s="26" t="s">
        <v>27</v>
      </c>
      <c r="AN104" s="26"/>
      <c r="AO104" s="26" t="s">
        <v>226</v>
      </c>
      <c r="AP104" s="26" t="s">
        <v>596</v>
      </c>
      <c r="AQ104" s="26" t="s">
        <v>308</v>
      </c>
      <c r="AR104" s="26" t="s">
        <v>308</v>
      </c>
      <c r="AS104" s="26" t="s">
        <v>597</v>
      </c>
      <c r="AT104" s="26" t="s">
        <v>597</v>
      </c>
      <c r="AU104" s="26"/>
      <c r="AV104" s="26" t="s">
        <v>53</v>
      </c>
      <c r="AW104" s="26" t="s">
        <v>54</v>
      </c>
      <c r="AX104" s="26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customFormat="false" ht="93" hidden="false" customHeight="true" outlineLevel="0" collapsed="false">
      <c r="A105" s="17" t="s">
        <v>598</v>
      </c>
      <c r="B105" s="14" t="s">
        <v>584</v>
      </c>
      <c r="C105" s="14" t="s">
        <v>308</v>
      </c>
      <c r="D105" s="14" t="s">
        <v>585</v>
      </c>
      <c r="E105" s="17" t="s">
        <v>586</v>
      </c>
      <c r="F105" s="14" t="s">
        <v>594</v>
      </c>
      <c r="G105" s="14" t="s">
        <v>599</v>
      </c>
      <c r="H105" s="14" t="s">
        <v>273</v>
      </c>
      <c r="I105" s="20" t="n">
        <f aca="false">J105+P105+V105+AB105+AG105</f>
        <v>85000</v>
      </c>
      <c r="J105" s="20" t="n">
        <f aca="false">SUM(K105:O105)</f>
        <v>0</v>
      </c>
      <c r="K105" s="20"/>
      <c r="L105" s="20"/>
      <c r="M105" s="20"/>
      <c r="N105" s="20"/>
      <c r="O105" s="20"/>
      <c r="P105" s="21" t="n">
        <f aca="false">SUM(Q105:U105)</f>
        <v>85000</v>
      </c>
      <c r="Q105" s="20"/>
      <c r="R105" s="20" t="n">
        <v>85000</v>
      </c>
      <c r="S105" s="20"/>
      <c r="T105" s="20"/>
      <c r="U105" s="20"/>
      <c r="V105" s="21" t="n">
        <f aca="false">SUM(W105:AA105)</f>
        <v>0</v>
      </c>
      <c r="W105" s="20"/>
      <c r="X105" s="20"/>
      <c r="Y105" s="20"/>
      <c r="Z105" s="20"/>
      <c r="AA105" s="20"/>
      <c r="AB105" s="21" t="n">
        <f aca="false">SUM(AC105:AF105)</f>
        <v>0</v>
      </c>
      <c r="AC105" s="20"/>
      <c r="AD105" s="20"/>
      <c r="AE105" s="20"/>
      <c r="AF105" s="20"/>
      <c r="AG105" s="20" t="n">
        <f aca="false">SUM(AH105:AK105)</f>
        <v>0</v>
      </c>
      <c r="AH105" s="20"/>
      <c r="AI105" s="20"/>
      <c r="AJ105" s="20"/>
      <c r="AK105" s="20"/>
      <c r="AL105" s="26" t="s">
        <v>590</v>
      </c>
      <c r="AM105" s="26" t="s">
        <v>27</v>
      </c>
      <c r="AN105" s="26"/>
      <c r="AO105" s="26" t="s">
        <v>226</v>
      </c>
      <c r="AP105" s="26" t="s">
        <v>600</v>
      </c>
      <c r="AQ105" s="26" t="s">
        <v>308</v>
      </c>
      <c r="AR105" s="26" t="s">
        <v>308</v>
      </c>
      <c r="AS105" s="26" t="s">
        <v>597</v>
      </c>
      <c r="AT105" s="26" t="s">
        <v>597</v>
      </c>
      <c r="AU105" s="26"/>
      <c r="AV105" s="26" t="s">
        <v>53</v>
      </c>
      <c r="AW105" s="26" t="s">
        <v>423</v>
      </c>
      <c r="AX105" s="26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customFormat="false" ht="93.75" hidden="false" customHeight="true" outlineLevel="0" collapsed="false">
      <c r="A106" s="17" t="s">
        <v>601</v>
      </c>
      <c r="B106" s="14" t="s">
        <v>584</v>
      </c>
      <c r="C106" s="14" t="s">
        <v>308</v>
      </c>
      <c r="D106" s="14" t="s">
        <v>585</v>
      </c>
      <c r="E106" s="17" t="s">
        <v>586</v>
      </c>
      <c r="F106" s="14" t="s">
        <v>594</v>
      </c>
      <c r="G106" s="14" t="s">
        <v>602</v>
      </c>
      <c r="H106" s="14" t="s">
        <v>87</v>
      </c>
      <c r="I106" s="20" t="n">
        <f aca="false">J106+P106+V106+AB106+AG106</f>
        <v>85000</v>
      </c>
      <c r="J106" s="20" t="n">
        <f aca="false">SUM(K106:O106)</f>
        <v>0</v>
      </c>
      <c r="K106" s="20"/>
      <c r="L106" s="20"/>
      <c r="M106" s="20"/>
      <c r="N106" s="20"/>
      <c r="O106" s="20"/>
      <c r="P106" s="21" t="n">
        <f aca="false">SUM(Q106:U106)</f>
        <v>85000</v>
      </c>
      <c r="Q106" s="20"/>
      <c r="R106" s="20" t="n">
        <v>85000</v>
      </c>
      <c r="S106" s="20"/>
      <c r="T106" s="20"/>
      <c r="U106" s="20"/>
      <c r="V106" s="21" t="n">
        <f aca="false">SUM(W106:AA106)</f>
        <v>0</v>
      </c>
      <c r="W106" s="20"/>
      <c r="X106" s="20"/>
      <c r="Y106" s="20"/>
      <c r="Z106" s="20"/>
      <c r="AA106" s="20"/>
      <c r="AB106" s="21" t="n">
        <f aca="false">SUM(AC106:AF106)</f>
        <v>0</v>
      </c>
      <c r="AC106" s="20"/>
      <c r="AD106" s="20"/>
      <c r="AE106" s="20"/>
      <c r="AF106" s="20"/>
      <c r="AG106" s="20" t="n">
        <f aca="false">SUM(AH106:AK106)</f>
        <v>0</v>
      </c>
      <c r="AH106" s="20"/>
      <c r="AI106" s="20"/>
      <c r="AJ106" s="20"/>
      <c r="AK106" s="20"/>
      <c r="AL106" s="26" t="s">
        <v>590</v>
      </c>
      <c r="AM106" s="26" t="s">
        <v>27</v>
      </c>
      <c r="AN106" s="26"/>
      <c r="AO106" s="26" t="s">
        <v>226</v>
      </c>
      <c r="AP106" s="26" t="s">
        <v>603</v>
      </c>
      <c r="AQ106" s="26" t="s">
        <v>308</v>
      </c>
      <c r="AR106" s="26" t="s">
        <v>308</v>
      </c>
      <c r="AS106" s="26" t="s">
        <v>597</v>
      </c>
      <c r="AT106" s="26" t="s">
        <v>597</v>
      </c>
      <c r="AU106" s="26"/>
      <c r="AV106" s="26" t="s">
        <v>53</v>
      </c>
      <c r="AW106" s="26" t="s">
        <v>423</v>
      </c>
      <c r="AX106" s="26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customFormat="false" ht="96.75" hidden="false" customHeight="true" outlineLevel="0" collapsed="false">
      <c r="A107" s="17" t="s">
        <v>604</v>
      </c>
      <c r="B107" s="14" t="s">
        <v>584</v>
      </c>
      <c r="C107" s="14" t="s">
        <v>308</v>
      </c>
      <c r="D107" s="14" t="s">
        <v>585</v>
      </c>
      <c r="E107" s="17" t="s">
        <v>586</v>
      </c>
      <c r="F107" s="14" t="s">
        <v>594</v>
      </c>
      <c r="G107" s="14" t="s">
        <v>605</v>
      </c>
      <c r="H107" s="14" t="s">
        <v>250</v>
      </c>
      <c r="I107" s="20" t="n">
        <f aca="false">J107+P107+V107+AB107+AG107</f>
        <v>14000</v>
      </c>
      <c r="J107" s="20" t="n">
        <f aca="false">SUM(K107:O107)</f>
        <v>0</v>
      </c>
      <c r="K107" s="20"/>
      <c r="L107" s="20"/>
      <c r="M107" s="20"/>
      <c r="N107" s="20"/>
      <c r="O107" s="20"/>
      <c r="P107" s="21" t="n">
        <f aca="false">SUM(Q107:U107)</f>
        <v>14000</v>
      </c>
      <c r="Q107" s="20"/>
      <c r="R107" s="20" t="n">
        <v>13986</v>
      </c>
      <c r="S107" s="20" t="n">
        <v>14</v>
      </c>
      <c r="T107" s="20"/>
      <c r="U107" s="20"/>
      <c r="V107" s="21" t="n">
        <f aca="false">SUM(W107:AA107)</f>
        <v>0</v>
      </c>
      <c r="W107" s="20"/>
      <c r="X107" s="20"/>
      <c r="Y107" s="20"/>
      <c r="Z107" s="20"/>
      <c r="AA107" s="20"/>
      <c r="AB107" s="21" t="n">
        <f aca="false">SUM(AC107:AF107)</f>
        <v>0</v>
      </c>
      <c r="AC107" s="20"/>
      <c r="AD107" s="20"/>
      <c r="AE107" s="20"/>
      <c r="AF107" s="20"/>
      <c r="AG107" s="20" t="n">
        <f aca="false">SUM(AH107:AK107)</f>
        <v>0</v>
      </c>
      <c r="AH107" s="20"/>
      <c r="AI107" s="20"/>
      <c r="AJ107" s="20"/>
      <c r="AK107" s="20"/>
      <c r="AL107" s="26" t="s">
        <v>590</v>
      </c>
      <c r="AM107" s="26"/>
      <c r="AN107" s="26" t="s">
        <v>26</v>
      </c>
      <c r="AO107" s="26" t="s">
        <v>155</v>
      </c>
      <c r="AP107" s="26"/>
      <c r="AQ107" s="26" t="s">
        <v>250</v>
      </c>
      <c r="AR107" s="26" t="s">
        <v>308</v>
      </c>
      <c r="AS107" s="26" t="s">
        <v>251</v>
      </c>
      <c r="AT107" s="26" t="s">
        <v>251</v>
      </c>
      <c r="AU107" s="26"/>
      <c r="AV107" s="14" t="s">
        <v>159</v>
      </c>
      <c r="AW107" s="26" t="s">
        <v>90</v>
      </c>
      <c r="AX107" s="26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customFormat="false" ht="158.25" hidden="false" customHeight="true" outlineLevel="0" collapsed="false">
      <c r="A108" s="17" t="s">
        <v>606</v>
      </c>
      <c r="B108" s="18" t="s">
        <v>607</v>
      </c>
      <c r="C108" s="18" t="s">
        <v>41</v>
      </c>
      <c r="D108" s="22" t="s">
        <v>608</v>
      </c>
      <c r="E108" s="19" t="s">
        <v>221</v>
      </c>
      <c r="F108" s="18" t="s">
        <v>222</v>
      </c>
      <c r="G108" s="18" t="s">
        <v>609</v>
      </c>
      <c r="H108" s="18" t="s">
        <v>117</v>
      </c>
      <c r="I108" s="20" t="n">
        <f aca="false">J108+P108+V108+AB108+AG108</f>
        <v>986687.56667</v>
      </c>
      <c r="J108" s="20" t="n">
        <f aca="false">SUM(K108:O108)</f>
        <v>693939.4</v>
      </c>
      <c r="K108" s="32" t="n">
        <f aca="false">0+687000</f>
        <v>687000</v>
      </c>
      <c r="L108" s="32" t="n">
        <v>6939.4</v>
      </c>
      <c r="M108" s="21"/>
      <c r="N108" s="21"/>
      <c r="O108" s="21"/>
      <c r="P108" s="21" t="n">
        <f aca="false">SUM(Q108:U108)</f>
        <v>202861.5</v>
      </c>
      <c r="Q108" s="21" t="n">
        <f aca="false">0+178518.1</f>
        <v>178518.1</v>
      </c>
      <c r="R108" s="21" t="n">
        <v>24343.4</v>
      </c>
      <c r="S108" s="21"/>
      <c r="T108" s="21"/>
      <c r="U108" s="21"/>
      <c r="V108" s="21" t="n">
        <f aca="false">SUM(W108:AA108)</f>
        <v>89886.66667</v>
      </c>
      <c r="W108" s="21" t="n">
        <f aca="false">0+88987.8</f>
        <v>88987.8</v>
      </c>
      <c r="X108" s="21" t="n">
        <v>898.86667</v>
      </c>
      <c r="Y108" s="21"/>
      <c r="Z108" s="21"/>
      <c r="AA108" s="21"/>
      <c r="AB108" s="21" t="n">
        <f aca="false">SUM(AC108:AF108)</f>
        <v>0</v>
      </c>
      <c r="AC108" s="21"/>
      <c r="AD108" s="21"/>
      <c r="AE108" s="21"/>
      <c r="AF108" s="21"/>
      <c r="AG108" s="20" t="n">
        <f aca="false">SUM(AH108:AK108)</f>
        <v>0</v>
      </c>
      <c r="AH108" s="21"/>
      <c r="AI108" s="21"/>
      <c r="AJ108" s="21"/>
      <c r="AK108" s="21"/>
      <c r="AL108" s="22" t="s">
        <v>610</v>
      </c>
      <c r="AM108" s="18" t="s">
        <v>27</v>
      </c>
      <c r="AN108" s="18"/>
      <c r="AO108" s="18" t="s">
        <v>611</v>
      </c>
      <c r="AP108" s="18"/>
      <c r="AQ108" s="18" t="s">
        <v>41</v>
      </c>
      <c r="AR108" s="18" t="s">
        <v>41</v>
      </c>
      <c r="AS108" s="18" t="s">
        <v>41</v>
      </c>
      <c r="AT108" s="18" t="s">
        <v>41</v>
      </c>
      <c r="AU108" s="18"/>
      <c r="AV108" s="15" t="s">
        <v>53</v>
      </c>
      <c r="AW108" s="18" t="s">
        <v>63</v>
      </c>
      <c r="AX108" s="18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customFormat="false" ht="90" hidden="false" customHeight="true" outlineLevel="0" collapsed="false">
      <c r="A109" s="17" t="s">
        <v>612</v>
      </c>
      <c r="B109" s="14" t="s">
        <v>613</v>
      </c>
      <c r="C109" s="14" t="s">
        <v>614</v>
      </c>
      <c r="D109" s="14" t="s">
        <v>615</v>
      </c>
      <c r="E109" s="17" t="s">
        <v>124</v>
      </c>
      <c r="F109" s="14" t="s">
        <v>125</v>
      </c>
      <c r="G109" s="14" t="s">
        <v>616</v>
      </c>
      <c r="H109" s="14" t="s">
        <v>67</v>
      </c>
      <c r="I109" s="20" t="n">
        <f aca="false">J109+P109+V109+AB109+AG109</f>
        <v>757290.3363</v>
      </c>
      <c r="J109" s="20" t="n">
        <f aca="false">SUM(K109:O109)</f>
        <v>757290.3363</v>
      </c>
      <c r="K109" s="20" t="n">
        <v>431742.2</v>
      </c>
      <c r="L109" s="20" t="n">
        <v>4361.03235</v>
      </c>
      <c r="M109" s="20" t="n">
        <v>120593.5535</v>
      </c>
      <c r="N109" s="20"/>
      <c r="O109" s="20" t="n">
        <v>200593.55045</v>
      </c>
      <c r="P109" s="21" t="n">
        <f aca="false">SUM(Q109:U109)</f>
        <v>0</v>
      </c>
      <c r="Q109" s="20"/>
      <c r="R109" s="20"/>
      <c r="S109" s="20"/>
      <c r="T109" s="20"/>
      <c r="U109" s="20"/>
      <c r="V109" s="21" t="n">
        <f aca="false">SUM(W109:AA109)</f>
        <v>0</v>
      </c>
      <c r="W109" s="20"/>
      <c r="X109" s="20"/>
      <c r="Y109" s="20"/>
      <c r="Z109" s="20"/>
      <c r="AA109" s="20"/>
      <c r="AB109" s="21" t="n">
        <f aca="false">SUM(AC109:AF109)</f>
        <v>0</v>
      </c>
      <c r="AC109" s="20"/>
      <c r="AD109" s="20"/>
      <c r="AE109" s="20"/>
      <c r="AF109" s="20"/>
      <c r="AG109" s="20" t="n">
        <f aca="false">SUM(AH109:AK109)</f>
        <v>0</v>
      </c>
      <c r="AH109" s="20"/>
      <c r="AI109" s="20"/>
      <c r="AJ109" s="20"/>
      <c r="AK109" s="20"/>
      <c r="AL109" s="14" t="s">
        <v>617</v>
      </c>
      <c r="AM109" s="16" t="s">
        <v>25</v>
      </c>
      <c r="AN109" s="16"/>
      <c r="AO109" s="14" t="s">
        <v>618</v>
      </c>
      <c r="AP109" s="16" t="s">
        <v>619</v>
      </c>
      <c r="AQ109" s="14" t="s">
        <v>67</v>
      </c>
      <c r="AR109" s="14" t="s">
        <v>614</v>
      </c>
      <c r="AS109" s="14" t="s">
        <v>67</v>
      </c>
      <c r="AT109" s="14" t="s">
        <v>620</v>
      </c>
      <c r="AU109" s="14" t="s">
        <v>621</v>
      </c>
      <c r="AV109" s="14" t="s">
        <v>159</v>
      </c>
      <c r="AW109" s="16" t="s">
        <v>54</v>
      </c>
      <c r="AX109" s="14" t="s">
        <v>622</v>
      </c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customFormat="false" ht="117.75" hidden="false" customHeight="true" outlineLevel="0" collapsed="false">
      <c r="A110" s="17" t="s">
        <v>623</v>
      </c>
      <c r="B110" s="14" t="s">
        <v>613</v>
      </c>
      <c r="C110" s="14" t="s">
        <v>614</v>
      </c>
      <c r="D110" s="14" t="s">
        <v>615</v>
      </c>
      <c r="E110" s="17" t="s">
        <v>624</v>
      </c>
      <c r="F110" s="17" t="s">
        <v>625</v>
      </c>
      <c r="G110" s="14" t="s">
        <v>626</v>
      </c>
      <c r="H110" s="14" t="s">
        <v>67</v>
      </c>
      <c r="I110" s="20" t="n">
        <f aca="false">J110+P110+V110+AB110+AG110</f>
        <v>1298071.44806</v>
      </c>
      <c r="J110" s="20" t="n">
        <f aca="false">SUM(K110:O110)</f>
        <v>358743.01888</v>
      </c>
      <c r="K110" s="25" t="n">
        <v>350000</v>
      </c>
      <c r="L110" s="20" t="n">
        <f aca="false">61867.0694-58331.71586</f>
        <v>3535.35354</v>
      </c>
      <c r="M110" s="20" t="n">
        <v>5207.66534</v>
      </c>
      <c r="N110" s="20"/>
      <c r="O110" s="20"/>
      <c r="P110" s="21" t="n">
        <f aca="false">SUM(Q110:U110)</f>
        <v>707308.13256</v>
      </c>
      <c r="Q110" s="25" t="n">
        <f aca="false">567113.8+1</f>
        <v>567114.8</v>
      </c>
      <c r="R110" s="20" t="n">
        <f aca="false">61867.0694-56138.63708</f>
        <v>5728.43232</v>
      </c>
      <c r="S110" s="20" t="n">
        <v>5207.66534</v>
      </c>
      <c r="T110" s="20"/>
      <c r="U110" s="20" t="n">
        <v>129257.2349</v>
      </c>
      <c r="V110" s="21" t="n">
        <f aca="false">SUM(W110:AA110)</f>
        <v>232020.29662</v>
      </c>
      <c r="W110" s="25" t="n">
        <f aca="false">179929.4+37185.4</f>
        <v>217114.8</v>
      </c>
      <c r="X110" s="20" t="n">
        <v>13748.23762</v>
      </c>
      <c r="Y110" s="20" t="n">
        <v>1157.259</v>
      </c>
      <c r="Z110" s="20"/>
      <c r="AA110" s="20"/>
      <c r="AB110" s="21" t="n">
        <f aca="false">SUM(AC110:AF110)</f>
        <v>0</v>
      </c>
      <c r="AC110" s="20"/>
      <c r="AD110" s="20"/>
      <c r="AE110" s="20"/>
      <c r="AF110" s="20"/>
      <c r="AG110" s="20" t="n">
        <f aca="false">SUM(AH110:AK110)</f>
        <v>0</v>
      </c>
      <c r="AH110" s="20"/>
      <c r="AI110" s="20"/>
      <c r="AJ110" s="20"/>
      <c r="AK110" s="20"/>
      <c r="AL110" s="14" t="s">
        <v>617</v>
      </c>
      <c r="AM110" s="16" t="s">
        <v>27</v>
      </c>
      <c r="AN110" s="16"/>
      <c r="AO110" s="14" t="s">
        <v>618</v>
      </c>
      <c r="AP110" s="16" t="s">
        <v>627</v>
      </c>
      <c r="AQ110" s="14" t="s">
        <v>67</v>
      </c>
      <c r="AR110" s="14" t="s">
        <v>614</v>
      </c>
      <c r="AS110" s="14" t="s">
        <v>67</v>
      </c>
      <c r="AT110" s="14" t="s">
        <v>620</v>
      </c>
      <c r="AU110" s="25" t="s">
        <v>628</v>
      </c>
      <c r="AV110" s="14" t="s">
        <v>159</v>
      </c>
      <c r="AW110" s="16" t="s">
        <v>63</v>
      </c>
      <c r="AX110" s="80" t="s">
        <v>629</v>
      </c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customFormat="false" ht="124.5" hidden="false" customHeight="true" outlineLevel="0" collapsed="false">
      <c r="A111" s="17" t="s">
        <v>630</v>
      </c>
      <c r="B111" s="14" t="s">
        <v>613</v>
      </c>
      <c r="C111" s="14" t="s">
        <v>614</v>
      </c>
      <c r="D111" s="14" t="s">
        <v>615</v>
      </c>
      <c r="E111" s="17" t="s">
        <v>624</v>
      </c>
      <c r="F111" s="17" t="s">
        <v>625</v>
      </c>
      <c r="G111" s="14" t="s">
        <v>631</v>
      </c>
      <c r="H111" s="14" t="s">
        <v>246</v>
      </c>
      <c r="I111" s="20" t="n">
        <f aca="false">J111+P111+V111+AB111+AG111</f>
        <v>256463.5325</v>
      </c>
      <c r="J111" s="20" t="n">
        <f aca="false">SUM(K111:O111)</f>
        <v>100000</v>
      </c>
      <c r="K111" s="20" t="n">
        <v>98010</v>
      </c>
      <c r="L111" s="20" t="n">
        <f aca="false">43190-36582.61647-5617.38353</f>
        <v>989.999999999999</v>
      </c>
      <c r="M111" s="20" t="n">
        <v>1000</v>
      </c>
      <c r="N111" s="20"/>
      <c r="O111" s="20"/>
      <c r="P111" s="21" t="n">
        <f aca="false">SUM(Q111:U111)</f>
        <v>156463.5325</v>
      </c>
      <c r="Q111" s="20" t="n">
        <f aca="false">122513.5-1</f>
        <v>122512.5</v>
      </c>
      <c r="R111" s="20" t="n">
        <f aca="false">24850-22948.9675</f>
        <v>1901.0325</v>
      </c>
      <c r="S111" s="20" t="n">
        <v>1250</v>
      </c>
      <c r="T111" s="20"/>
      <c r="U111" s="20" t="n">
        <v>30800</v>
      </c>
      <c r="V111" s="21" t="n">
        <f aca="false">SUM(W111:AA111)</f>
        <v>0</v>
      </c>
      <c r="W111" s="20"/>
      <c r="X111" s="20"/>
      <c r="Y111" s="20"/>
      <c r="Z111" s="20"/>
      <c r="AA111" s="20"/>
      <c r="AB111" s="21" t="n">
        <f aca="false">SUM(AC111:AF111)</f>
        <v>0</v>
      </c>
      <c r="AC111" s="20"/>
      <c r="AD111" s="20"/>
      <c r="AE111" s="20"/>
      <c r="AF111" s="20"/>
      <c r="AG111" s="20" t="n">
        <f aca="false">SUM(AH111:AK111)</f>
        <v>0</v>
      </c>
      <c r="AH111" s="20"/>
      <c r="AI111" s="20"/>
      <c r="AJ111" s="20"/>
      <c r="AK111" s="20"/>
      <c r="AL111" s="14" t="s">
        <v>617</v>
      </c>
      <c r="AM111" s="16" t="s">
        <v>25</v>
      </c>
      <c r="AN111" s="16"/>
      <c r="AO111" s="14" t="s">
        <v>618</v>
      </c>
      <c r="AP111" s="16" t="s">
        <v>632</v>
      </c>
      <c r="AQ111" s="14" t="s">
        <v>246</v>
      </c>
      <c r="AR111" s="14" t="s">
        <v>614</v>
      </c>
      <c r="AS111" s="14" t="s">
        <v>246</v>
      </c>
      <c r="AT111" s="14" t="s">
        <v>633</v>
      </c>
      <c r="AU111" s="25" t="s">
        <v>634</v>
      </c>
      <c r="AV111" s="14" t="s">
        <v>159</v>
      </c>
      <c r="AW111" s="16" t="s">
        <v>63</v>
      </c>
      <c r="AX111" s="80" t="s">
        <v>635</v>
      </c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customFormat="false" ht="124.5" hidden="false" customHeight="true" outlineLevel="0" collapsed="false">
      <c r="A112" s="17" t="s">
        <v>636</v>
      </c>
      <c r="B112" s="14" t="s">
        <v>613</v>
      </c>
      <c r="C112" s="26" t="s">
        <v>444</v>
      </c>
      <c r="D112" s="70" t="s">
        <v>637</v>
      </c>
      <c r="E112" s="17" t="s">
        <v>454</v>
      </c>
      <c r="F112" s="55" t="s">
        <v>464</v>
      </c>
      <c r="G112" s="14" t="s">
        <v>638</v>
      </c>
      <c r="H112" s="62" t="s">
        <v>273</v>
      </c>
      <c r="I112" s="20" t="n">
        <f aca="false">J112+P112+V112+AB112+AG112</f>
        <v>2360047.3</v>
      </c>
      <c r="J112" s="20" t="n">
        <f aca="false">SUM(K112:O112)</f>
        <v>0</v>
      </c>
      <c r="K112" s="20"/>
      <c r="L112" s="20"/>
      <c r="M112" s="20"/>
      <c r="N112" s="20"/>
      <c r="O112" s="20"/>
      <c r="P112" s="21" t="n">
        <f aca="false">SUM(Q112:U112)</f>
        <v>1345979</v>
      </c>
      <c r="Q112" s="20" t="n">
        <v>1345979</v>
      </c>
      <c r="R112" s="20"/>
      <c r="S112" s="20"/>
      <c r="T112" s="20"/>
      <c r="U112" s="20"/>
      <c r="V112" s="21" t="n">
        <f aca="false">SUM(W112:AA112)</f>
        <v>1014068.3</v>
      </c>
      <c r="W112" s="20" t="n">
        <v>1014068.3</v>
      </c>
      <c r="X112" s="20"/>
      <c r="Y112" s="20"/>
      <c r="Z112" s="20"/>
      <c r="AA112" s="20"/>
      <c r="AB112" s="21" t="n">
        <f aca="false">SUM(AC112:AF112)</f>
        <v>0</v>
      </c>
      <c r="AC112" s="20"/>
      <c r="AD112" s="20"/>
      <c r="AE112" s="20"/>
      <c r="AF112" s="20"/>
      <c r="AG112" s="20" t="n">
        <f aca="false">SUM(AH112:AK112)</f>
        <v>0</v>
      </c>
      <c r="AH112" s="20"/>
      <c r="AI112" s="20"/>
      <c r="AJ112" s="20"/>
      <c r="AK112" s="20"/>
      <c r="AL112" s="70" t="s">
        <v>639</v>
      </c>
      <c r="AM112" s="16" t="s">
        <v>27</v>
      </c>
      <c r="AN112" s="16"/>
      <c r="AO112" s="62" t="s">
        <v>48</v>
      </c>
      <c r="AP112" s="62" t="s">
        <v>640</v>
      </c>
      <c r="AQ112" s="62" t="s">
        <v>459</v>
      </c>
      <c r="AR112" s="14" t="s">
        <v>614</v>
      </c>
      <c r="AS112" s="62" t="s">
        <v>459</v>
      </c>
      <c r="AT112" s="62" t="s">
        <v>459</v>
      </c>
      <c r="AU112" s="56" t="s">
        <v>641</v>
      </c>
      <c r="AV112" s="62" t="s">
        <v>130</v>
      </c>
      <c r="AW112" s="62" t="s">
        <v>423</v>
      </c>
      <c r="AX112" s="62" t="s">
        <v>642</v>
      </c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customFormat="false" ht="124.5" hidden="false" customHeight="true" outlineLevel="0" collapsed="false">
      <c r="A113" s="17" t="s">
        <v>643</v>
      </c>
      <c r="B113" s="15" t="s">
        <v>443</v>
      </c>
      <c r="C113" s="62" t="s">
        <v>444</v>
      </c>
      <c r="D113" s="70" t="s">
        <v>644</v>
      </c>
      <c r="E113" s="81" t="s">
        <v>454</v>
      </c>
      <c r="F113" s="81" t="s">
        <v>464</v>
      </c>
      <c r="G113" s="62" t="s">
        <v>645</v>
      </c>
      <c r="H113" s="62" t="s">
        <v>67</v>
      </c>
      <c r="I113" s="20" t="n">
        <f aca="false">J113+P113+V113+AB113+AG113</f>
        <v>172.6782</v>
      </c>
      <c r="J113" s="46" t="n">
        <f aca="false">SUM(K113:O113)</f>
        <v>172.6782</v>
      </c>
      <c r="K113" s="61"/>
      <c r="L113" s="61" t="n">
        <v>172.6782</v>
      </c>
      <c r="M113" s="61"/>
      <c r="N113" s="61"/>
      <c r="O113" s="61"/>
      <c r="P113" s="40" t="n">
        <f aca="false">SUM(Q113:U113)</f>
        <v>0</v>
      </c>
      <c r="Q113" s="69"/>
      <c r="R113" s="66"/>
      <c r="S113" s="61"/>
      <c r="T113" s="61"/>
      <c r="U113" s="61"/>
      <c r="V113" s="40" t="n">
        <f aca="false">SUM(W113:AA113)</f>
        <v>0</v>
      </c>
      <c r="W113" s="61"/>
      <c r="X113" s="61"/>
      <c r="Y113" s="61"/>
      <c r="Z113" s="61"/>
      <c r="AA113" s="61"/>
      <c r="AB113" s="40" t="n">
        <f aca="false">SUM(AC113:AF113)</f>
        <v>0</v>
      </c>
      <c r="AC113" s="61"/>
      <c r="AD113" s="61"/>
      <c r="AE113" s="61"/>
      <c r="AF113" s="61"/>
      <c r="AG113" s="46" t="n">
        <f aca="false">SUM(AH113:AK113)</f>
        <v>0</v>
      </c>
      <c r="AH113" s="61"/>
      <c r="AI113" s="61"/>
      <c r="AJ113" s="61"/>
      <c r="AK113" s="61"/>
      <c r="AL113" s="70" t="s">
        <v>466</v>
      </c>
      <c r="AM113" s="62" t="s">
        <v>25</v>
      </c>
      <c r="AN113" s="62" t="s">
        <v>208</v>
      </c>
      <c r="AO113" s="62" t="s">
        <v>48</v>
      </c>
      <c r="AP113" s="15" t="s">
        <v>646</v>
      </c>
      <c r="AQ113" s="62" t="s">
        <v>537</v>
      </c>
      <c r="AR113" s="62" t="s">
        <v>444</v>
      </c>
      <c r="AS113" s="62" t="s">
        <v>537</v>
      </c>
      <c r="AT113" s="62" t="s">
        <v>537</v>
      </c>
      <c r="AU113" s="66" t="s">
        <v>647</v>
      </c>
      <c r="AV113" s="15" t="s">
        <v>53</v>
      </c>
      <c r="AW113" s="62" t="s">
        <v>131</v>
      </c>
      <c r="AX113" s="62" t="s">
        <v>648</v>
      </c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customFormat="false" ht="124.5" hidden="false" customHeight="true" outlineLevel="0" collapsed="false">
      <c r="A114" s="17" t="s">
        <v>649</v>
      </c>
      <c r="B114" s="15" t="s">
        <v>443</v>
      </c>
      <c r="C114" s="62" t="s">
        <v>444</v>
      </c>
      <c r="D114" s="70" t="s">
        <v>644</v>
      </c>
      <c r="E114" s="81" t="s">
        <v>454</v>
      </c>
      <c r="F114" s="81" t="s">
        <v>464</v>
      </c>
      <c r="G114" s="62" t="s">
        <v>650</v>
      </c>
      <c r="H114" s="62" t="s">
        <v>67</v>
      </c>
      <c r="I114" s="20" t="n">
        <f aca="false">J114+P114+V114+AB114+AG114</f>
        <v>284.5185</v>
      </c>
      <c r="J114" s="46" t="n">
        <f aca="false">SUM(K114:O114)</f>
        <v>284.5185</v>
      </c>
      <c r="K114" s="61"/>
      <c r="L114" s="61" t="n">
        <v>284.5185</v>
      </c>
      <c r="M114" s="61"/>
      <c r="N114" s="61"/>
      <c r="O114" s="61"/>
      <c r="P114" s="40" t="n">
        <f aca="false">SUM(Q114:U114)</f>
        <v>0</v>
      </c>
      <c r="Q114" s="61"/>
      <c r="R114" s="61"/>
      <c r="S114" s="61"/>
      <c r="T114" s="61"/>
      <c r="U114" s="61"/>
      <c r="V114" s="40" t="n">
        <f aca="false">SUM(W114:AA114)</f>
        <v>0</v>
      </c>
      <c r="W114" s="61"/>
      <c r="X114" s="61"/>
      <c r="Y114" s="61"/>
      <c r="Z114" s="61"/>
      <c r="AA114" s="61"/>
      <c r="AB114" s="40" t="n">
        <f aca="false">SUM(AC114:AF114)</f>
        <v>0</v>
      </c>
      <c r="AC114" s="61"/>
      <c r="AD114" s="61"/>
      <c r="AE114" s="61"/>
      <c r="AF114" s="61"/>
      <c r="AG114" s="46" t="n">
        <f aca="false">SUM(AH114:AK114)</f>
        <v>0</v>
      </c>
      <c r="AH114" s="61"/>
      <c r="AI114" s="61"/>
      <c r="AJ114" s="61"/>
      <c r="AK114" s="61"/>
      <c r="AL114" s="70" t="s">
        <v>466</v>
      </c>
      <c r="AM114" s="68" t="s">
        <v>25</v>
      </c>
      <c r="AN114" s="62" t="s">
        <v>208</v>
      </c>
      <c r="AO114" s="62" t="s">
        <v>48</v>
      </c>
      <c r="AP114" s="15" t="s">
        <v>651</v>
      </c>
      <c r="AQ114" s="62" t="s">
        <v>537</v>
      </c>
      <c r="AR114" s="62" t="s">
        <v>444</v>
      </c>
      <c r="AS114" s="62" t="s">
        <v>537</v>
      </c>
      <c r="AT114" s="62" t="s">
        <v>537</v>
      </c>
      <c r="AU114" s="66" t="s">
        <v>652</v>
      </c>
      <c r="AV114" s="15" t="s">
        <v>53</v>
      </c>
      <c r="AW114" s="62" t="s">
        <v>131</v>
      </c>
      <c r="AX114" s="62" t="s">
        <v>653</v>
      </c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customFormat="false" ht="27.75" hidden="false" customHeight="true" outlineLevel="0" collapsed="false">
      <c r="A115" s="17" t="s">
        <v>654</v>
      </c>
      <c r="B115" s="15" t="s">
        <v>32</v>
      </c>
      <c r="C115" s="15"/>
      <c r="D115" s="15"/>
      <c r="E115" s="15"/>
      <c r="F115" s="15"/>
      <c r="G115" s="15"/>
      <c r="H115" s="15"/>
      <c r="I115" s="46" t="n">
        <f aca="false">SUM(I9:I114)</f>
        <v>48669122.8027742</v>
      </c>
      <c r="J115" s="46" t="n">
        <f aca="false">SUM(J9:J114)</f>
        <v>21512198.12982</v>
      </c>
      <c r="K115" s="46" t="n">
        <f aca="false">SUM(K9:K114)</f>
        <v>14431472.19463</v>
      </c>
      <c r="L115" s="46" t="n">
        <f aca="false">SUM(L9:L114)</f>
        <v>3900222.70458</v>
      </c>
      <c r="M115" s="46" t="n">
        <f aca="false">SUM(M9:M114)</f>
        <v>145950.10877</v>
      </c>
      <c r="N115" s="46" t="n">
        <f aca="false">SUM(N9:N114)</f>
        <v>383959.57139</v>
      </c>
      <c r="O115" s="46" t="n">
        <f aca="false">SUM(O9:O114)</f>
        <v>2650593.55045</v>
      </c>
      <c r="P115" s="46" t="n">
        <f aca="false">SUM(P9:P114)</f>
        <v>12397540.92843</v>
      </c>
      <c r="Q115" s="46" t="n">
        <f aca="false">SUM(Q9:Q114)</f>
        <v>5020429.7</v>
      </c>
      <c r="R115" s="46" t="n">
        <f aca="false">SUM(R9:R114)</f>
        <v>6463563.853168</v>
      </c>
      <c r="S115" s="46" t="n">
        <f aca="false">SUM(S9:S114)</f>
        <v>66871.947922</v>
      </c>
      <c r="T115" s="46" t="n">
        <f aca="false">SUM(T9:T114)</f>
        <v>686618.19244</v>
      </c>
      <c r="U115" s="46" t="n">
        <f aca="false">SUM(U9:U114)</f>
        <v>160057.2349</v>
      </c>
      <c r="V115" s="46" t="n">
        <f aca="false">SUM(V9:V114)</f>
        <v>10090751.5977142</v>
      </c>
      <c r="W115" s="46" t="n">
        <f aca="false">SUM(W9:W114)</f>
        <v>6212534.8</v>
      </c>
      <c r="X115" s="46" t="n">
        <f aca="false">SUM(X9:X114)</f>
        <v>3185353.81639</v>
      </c>
      <c r="Y115" s="46" t="n">
        <f aca="false">SUM(Y9:Y114)</f>
        <v>12242.6605842</v>
      </c>
      <c r="Z115" s="46" t="n">
        <f aca="false">SUM(Z9:Z114)</f>
        <v>680620.32074</v>
      </c>
      <c r="AA115" s="46" t="n">
        <f aca="false">SUM(AA9:AA114)</f>
        <v>0</v>
      </c>
      <c r="AB115" s="46" t="n">
        <f aca="false">SUM(AB9:AB114)</f>
        <v>3551552.8</v>
      </c>
      <c r="AC115" s="46" t="n">
        <f aca="false">SUM(AC9:AC114)</f>
        <v>1094038</v>
      </c>
      <c r="AD115" s="46" t="n">
        <f aca="false">SUM(AD9:AD114)</f>
        <v>1025148.88335</v>
      </c>
      <c r="AE115" s="46" t="n">
        <f aca="false">SUM(AE9:AE114)</f>
        <v>12175.062</v>
      </c>
      <c r="AF115" s="46" t="n">
        <f aca="false">SUM(AF9:AF114)</f>
        <v>1420190.85465</v>
      </c>
      <c r="AG115" s="46" t="n">
        <f aca="false">SUM(AG9:AG114)</f>
        <v>891120.9</v>
      </c>
      <c r="AH115" s="46" t="n">
        <f aca="false">SUM(AH9:AH114)</f>
        <v>756923.5</v>
      </c>
      <c r="AI115" s="46" t="n">
        <f aca="false">SUM(AI9:AI114)</f>
        <v>126473.7</v>
      </c>
      <c r="AJ115" s="46" t="n">
        <f aca="false">SUM(AJ9:AJ114)</f>
        <v>7723.7</v>
      </c>
      <c r="AK115" s="46" t="n">
        <f aca="false">SUM(AK9:AK114)</f>
        <v>0</v>
      </c>
      <c r="AL115" s="82"/>
      <c r="AM115" s="82"/>
    </row>
    <row r="116" customFormat="false" ht="27.75" hidden="false" customHeight="true" outlineLevel="0" collapsed="false">
      <c r="A116" s="17"/>
      <c r="B116" s="83" t="s">
        <v>40</v>
      </c>
      <c r="C116" s="83"/>
      <c r="D116" s="83"/>
      <c r="E116" s="83"/>
      <c r="F116" s="83"/>
      <c r="G116" s="83"/>
      <c r="H116" s="83"/>
      <c r="I116" s="46" t="n">
        <f aca="false">I9+I10+I11+I12+I13+I14+I15+I16+I17+I18+I19</f>
        <v>6080676.95963</v>
      </c>
      <c r="J116" s="46" t="n">
        <f aca="false">J9+J10+J11+J12+J13+J14+J15+J16+J17+J18+J19</f>
        <v>2088321.12979</v>
      </c>
      <c r="K116" s="46" t="n">
        <f aca="false">K9+K10+K11+K12+K13+K14+K15+K16+K17+K18+K19</f>
        <v>1210758.40615</v>
      </c>
      <c r="L116" s="46" t="n">
        <f aca="false">L9+L10+L11+L12+L13+L14+L15+L16+L17+L18+L19</f>
        <v>877562.72364</v>
      </c>
      <c r="M116" s="46" t="n">
        <f aca="false">M9+M10+M11+M12+M13+M14+M15+M16+M17+M18+M19</f>
        <v>0</v>
      </c>
      <c r="N116" s="46" t="n">
        <f aca="false">N9+N10+N11+N12+N13+N14+N15+N16+N17+N18+N19</f>
        <v>0</v>
      </c>
      <c r="O116" s="46" t="n">
        <f aca="false">O9+O10+O11+O12+O13+O14+O15+O16+O17+O18+O19</f>
        <v>0</v>
      </c>
      <c r="P116" s="46" t="n">
        <f aca="false">P9+P10+P11+P12+P13+P14+P15+P16+P17+P18+P19</f>
        <v>1452793.68624</v>
      </c>
      <c r="Q116" s="46" t="n">
        <f aca="false">Q9+Q10+Q11+Q12+Q13+Q14+Q15+Q16+Q17+Q18+Q19</f>
        <v>0</v>
      </c>
      <c r="R116" s="46" t="n">
        <f aca="false">R9+R10+R11+R12+R13+R14+R15+R16+R17+R18+R19</f>
        <v>1452793.68624</v>
      </c>
      <c r="S116" s="46" t="n">
        <f aca="false">S9+S10+S11+S12+S13+S14+S15+S16+S17+S18+S19</f>
        <v>0</v>
      </c>
      <c r="T116" s="46" t="n">
        <f aca="false">T9+T10+T11+T12+T13+T14+T15+T16+T17+T18+T19</f>
        <v>0</v>
      </c>
      <c r="U116" s="46" t="n">
        <f aca="false">U9+U10+U11+U12+U13+U14+U15+U16+U17+U18+U19</f>
        <v>0</v>
      </c>
      <c r="V116" s="46" t="n">
        <f aca="false">V9+V10+V11+V12+V13+V14+V15+V16+V17+V18+V19</f>
        <v>2539562.1436</v>
      </c>
      <c r="W116" s="46" t="n">
        <f aca="false">W9+W10+W11+W12+W13+W14+W15+W16+W17+W18+W19</f>
        <v>1820700</v>
      </c>
      <c r="X116" s="46" t="n">
        <f aca="false">X9+X10+X11+X12+X13+X14+X15+X16+X17+X18+X19</f>
        <v>718862.1436</v>
      </c>
      <c r="Y116" s="46" t="n">
        <f aca="false">Y9+Y10+Y11+Y12+Y13+Y14+Y15+Y16+Y17+Y18+Y19</f>
        <v>0</v>
      </c>
      <c r="Z116" s="46" t="n">
        <f aca="false">Z9+Z10+Z11+Z12+Z13+Z14+Z15+Z16+Z17+Z18+Z19</f>
        <v>0</v>
      </c>
      <c r="AA116" s="46" t="n">
        <f aca="false">AA9+AA10+AA11+AA12+AA13+AA14+AA15+AA16+AA17+AA18+AA19</f>
        <v>0</v>
      </c>
      <c r="AB116" s="46" t="n">
        <f aca="false">AB9+AB10+AB11+AB12+AB13+AB14+AB15+AB16+AB17+AB18+AB19</f>
        <v>0</v>
      </c>
      <c r="AC116" s="46" t="n">
        <f aca="false">AC9+AC10+AC11+AC12+AC13+AC14+AC15+AC16+AC17+AC18+AC19</f>
        <v>0</v>
      </c>
      <c r="AD116" s="46" t="n">
        <f aca="false">AD9+AD10+AD11+AD12+AD13+AD14+AD15+AD16+AD17+AD18+AD19</f>
        <v>0</v>
      </c>
      <c r="AE116" s="46" t="n">
        <f aca="false">AE9+AE10+AE11+AE12+AE13+AE14+AE15+AE16+AE17+AE18+AE19</f>
        <v>0</v>
      </c>
      <c r="AF116" s="46" t="n">
        <f aca="false">AF9+AF10+AF11+AF12+AF13+AF14+AF15+AF16+AF17+AF18+AF19</f>
        <v>0</v>
      </c>
      <c r="AG116" s="46" t="n">
        <f aca="false">AG9+AG10+AG11+AG12+AG13+AG14+AG15+AG16+AG17+AG18+AG19</f>
        <v>0</v>
      </c>
      <c r="AH116" s="46" t="n">
        <f aca="false">AH9+AH10+AH11+AH12+AH13+AH14+AH15+AH16+AH17+AH18+AH19</f>
        <v>0</v>
      </c>
      <c r="AI116" s="46" t="n">
        <f aca="false">AI9+AI10+AI11+AI12+AI13+AI14+AI15+AI16+AI17+AI18+AI19</f>
        <v>0</v>
      </c>
      <c r="AJ116" s="46" t="n">
        <f aca="false">AJ9+AJ10+AJ11+AJ12+AJ13+AJ14+AJ15+AJ16+AJ17+AJ18+AJ19</f>
        <v>0</v>
      </c>
      <c r="AK116" s="46" t="n">
        <f aca="false">AK9+AK10+AK11+AK12+AK13+AK14+AK15+AK16+AK17+AK18+AK19</f>
        <v>0</v>
      </c>
      <c r="AL116" s="82"/>
      <c r="AM116" s="82"/>
    </row>
    <row r="117" customFormat="false" ht="27.75" hidden="false" customHeight="true" outlineLevel="0" collapsed="false">
      <c r="A117" s="17"/>
      <c r="B117" s="83" t="s">
        <v>104</v>
      </c>
      <c r="C117" s="83"/>
      <c r="D117" s="83"/>
      <c r="E117" s="83"/>
      <c r="F117" s="83"/>
      <c r="G117" s="83"/>
      <c r="H117" s="83"/>
      <c r="I117" s="46" t="n">
        <f aca="false">I20+I21+I22</f>
        <v>902064.91156</v>
      </c>
      <c r="J117" s="46" t="n">
        <f aca="false">J20+J21+J22</f>
        <v>447954.31156</v>
      </c>
      <c r="K117" s="46" t="n">
        <f aca="false">K20+K21+K22</f>
        <v>275281.9</v>
      </c>
      <c r="L117" s="46" t="n">
        <f aca="false">L20+L21+L22</f>
        <v>172672.41156</v>
      </c>
      <c r="M117" s="46" t="n">
        <f aca="false">M20+M21+M22</f>
        <v>0</v>
      </c>
      <c r="N117" s="46" t="n">
        <f aca="false">N20+N21+N22</f>
        <v>0</v>
      </c>
      <c r="O117" s="46" t="n">
        <f aca="false">O20+O21+O22</f>
        <v>0</v>
      </c>
      <c r="P117" s="46" t="n">
        <f aca="false">P20+P21+P22</f>
        <v>454110.6</v>
      </c>
      <c r="Q117" s="46" t="n">
        <f aca="false">Q20+Q21+Q22</f>
        <v>341977.3</v>
      </c>
      <c r="R117" s="46" t="n">
        <f aca="false">R20+R21+R22</f>
        <v>112133.3</v>
      </c>
      <c r="S117" s="46" t="n">
        <f aca="false">S20+S21+S22</f>
        <v>0</v>
      </c>
      <c r="T117" s="46" t="n">
        <f aca="false">T20+T21+T22</f>
        <v>0</v>
      </c>
      <c r="U117" s="46" t="n">
        <f aca="false">U20+U21+U22</f>
        <v>0</v>
      </c>
      <c r="V117" s="46" t="n">
        <f aca="false">V20+V21+V22</f>
        <v>0</v>
      </c>
      <c r="W117" s="46" t="n">
        <f aca="false">W20+W21+W22</f>
        <v>0</v>
      </c>
      <c r="X117" s="46" t="n">
        <f aca="false">X20+X21+X22</f>
        <v>0</v>
      </c>
      <c r="Y117" s="46" t="n">
        <f aca="false">Y20+Y21+Y22</f>
        <v>0</v>
      </c>
      <c r="Z117" s="46" t="n">
        <f aca="false">Z20+Z21+Z22</f>
        <v>0</v>
      </c>
      <c r="AA117" s="46" t="n">
        <f aca="false">AA20+AA21+AA22</f>
        <v>0</v>
      </c>
      <c r="AB117" s="46" t="n">
        <f aca="false">AB20+AB21+AB22</f>
        <v>0</v>
      </c>
      <c r="AC117" s="46" t="n">
        <f aca="false">AC20+AC21+AC22</f>
        <v>0</v>
      </c>
      <c r="AD117" s="46" t="n">
        <f aca="false">AD20+AD21+AD22</f>
        <v>0</v>
      </c>
      <c r="AE117" s="46" t="n">
        <f aca="false">AE20+AE21+AE22</f>
        <v>0</v>
      </c>
      <c r="AF117" s="46" t="n">
        <f aca="false">AF20+AF21+AF22</f>
        <v>0</v>
      </c>
      <c r="AG117" s="46" t="n">
        <f aca="false">AG20+AG21+AG22</f>
        <v>0</v>
      </c>
      <c r="AH117" s="46" t="n">
        <f aca="false">AH20+AH21+AH22</f>
        <v>0</v>
      </c>
      <c r="AI117" s="46" t="n">
        <f aca="false">AI20+AI21+AI22</f>
        <v>0</v>
      </c>
      <c r="AJ117" s="46" t="n">
        <f aca="false">AJ20+AJ21+AJ22</f>
        <v>0</v>
      </c>
      <c r="AK117" s="46" t="n">
        <f aca="false">AK20+AK21+AK22</f>
        <v>0</v>
      </c>
      <c r="AL117" s="82"/>
      <c r="AM117" s="82"/>
    </row>
    <row r="118" customFormat="false" ht="27.75" hidden="false" customHeight="true" outlineLevel="0" collapsed="false">
      <c r="A118" s="17"/>
      <c r="B118" s="83" t="s">
        <v>134</v>
      </c>
      <c r="C118" s="83"/>
      <c r="D118" s="83"/>
      <c r="E118" s="83"/>
      <c r="F118" s="83"/>
      <c r="G118" s="83"/>
      <c r="H118" s="83"/>
      <c r="I118" s="46" t="n">
        <f aca="false">I23+I24+I25+I26+I27+I28</f>
        <v>717877.81248</v>
      </c>
      <c r="J118" s="46" t="n">
        <f aca="false">J23+J24+J25+J26+J27+J28</f>
        <v>248547.69248</v>
      </c>
      <c r="K118" s="46" t="n">
        <f aca="false">K23+K24+K25+K26+K27+K28</f>
        <v>57739.42</v>
      </c>
      <c r="L118" s="46" t="n">
        <f aca="false">L23+L24+L25+L26+L27+L28</f>
        <v>187027.95542</v>
      </c>
      <c r="M118" s="46" t="n">
        <f aca="false">M23+M24+M25+M26+M27+M28</f>
        <v>3780.31706</v>
      </c>
      <c r="N118" s="46" t="n">
        <f aca="false">N23+N24+N25+N26+N27+N28</f>
        <v>0</v>
      </c>
      <c r="O118" s="46" t="n">
        <f aca="false">O23+O24+O25+O26+O27+O28</f>
        <v>0</v>
      </c>
      <c r="P118" s="46" t="n">
        <f aca="false">P23+P24+P25+P26+P27+P28</f>
        <v>469330.12</v>
      </c>
      <c r="Q118" s="46" t="n">
        <f aca="false">Q23+Q24+Q25+Q26+Q27+Q28</f>
        <v>0</v>
      </c>
      <c r="R118" s="46" t="n">
        <f aca="false">R23+R24+R25+R26+R27+R28</f>
        <v>469330.12</v>
      </c>
      <c r="S118" s="46" t="n">
        <f aca="false">S23+S24+S25+S26+S27+S28</f>
        <v>0</v>
      </c>
      <c r="T118" s="46" t="n">
        <f aca="false">T23+T24+T25+T26+T27+T28</f>
        <v>0</v>
      </c>
      <c r="U118" s="46" t="n">
        <f aca="false">U23+U24+U25+U26+U27+U28</f>
        <v>0</v>
      </c>
      <c r="V118" s="46" t="n">
        <f aca="false">V23+V24+V25+V26+V27+V28</f>
        <v>0</v>
      </c>
      <c r="W118" s="46" t="n">
        <f aca="false">W23+W24+W25+W26+W27+W28</f>
        <v>0</v>
      </c>
      <c r="X118" s="46" t="n">
        <f aca="false">X23+X24+X25+X26+X27+X28</f>
        <v>0</v>
      </c>
      <c r="Y118" s="46" t="n">
        <f aca="false">Y23+Y24+Y25+Y26+Y27+Y28</f>
        <v>0</v>
      </c>
      <c r="Z118" s="46" t="n">
        <f aca="false">Z23+Z24+Z25+Z26+Z27+Z28</f>
        <v>0</v>
      </c>
      <c r="AA118" s="46" t="n">
        <f aca="false">AA23+AA24+AA25+AA26+AA27+AA28</f>
        <v>0</v>
      </c>
      <c r="AB118" s="46" t="n">
        <f aca="false">AB23+AB24+AB25+AB26+AB27+AB28</f>
        <v>0</v>
      </c>
      <c r="AC118" s="46" t="n">
        <f aca="false">AC23+AC24+AC25+AC26+AC27+AC28</f>
        <v>0</v>
      </c>
      <c r="AD118" s="46" t="n">
        <f aca="false">AD23+AD24+AD25+AD26+AD27+AD28</f>
        <v>0</v>
      </c>
      <c r="AE118" s="46" t="n">
        <f aca="false">AE23+AE24+AE25+AE26+AE27+AE28</f>
        <v>0</v>
      </c>
      <c r="AF118" s="46" t="n">
        <f aca="false">AF23+AF24+AF25+AF26+AF27+AF28</f>
        <v>0</v>
      </c>
      <c r="AG118" s="46" t="n">
        <f aca="false">AG23+AG24+AG25+AG26+AG27+AG28</f>
        <v>0</v>
      </c>
      <c r="AH118" s="46" t="n">
        <f aca="false">AH23+AH24+AH25+AH26+AH27+AH28</f>
        <v>0</v>
      </c>
      <c r="AI118" s="46" t="n">
        <f aca="false">AI23+AI24+AI25+AI26+AI27+AI28</f>
        <v>0</v>
      </c>
      <c r="AJ118" s="46" t="n">
        <f aca="false">AJ23+AJ24+AJ25+AJ26+AJ27+AJ28</f>
        <v>0</v>
      </c>
      <c r="AK118" s="46" t="n">
        <f aca="false">AK23+AK24+AK25+AK26+AK27+AK28</f>
        <v>0</v>
      </c>
      <c r="AL118" s="82"/>
      <c r="AM118" s="82"/>
    </row>
    <row r="119" customFormat="false" ht="27.75" hidden="false" customHeight="true" outlineLevel="0" collapsed="false">
      <c r="A119" s="17"/>
      <c r="B119" s="83" t="s">
        <v>173</v>
      </c>
      <c r="C119" s="83"/>
      <c r="D119" s="83"/>
      <c r="E119" s="83"/>
      <c r="F119" s="83"/>
      <c r="G119" s="83"/>
      <c r="H119" s="83"/>
      <c r="I119" s="46" t="n">
        <f aca="false">I29</f>
        <v>658100</v>
      </c>
      <c r="J119" s="46" t="n">
        <f aca="false">J29</f>
        <v>0</v>
      </c>
      <c r="K119" s="46" t="n">
        <f aca="false">K29</f>
        <v>0</v>
      </c>
      <c r="L119" s="46" t="n">
        <f aca="false">L29</f>
        <v>0</v>
      </c>
      <c r="M119" s="46" t="n">
        <f aca="false">M29</f>
        <v>0</v>
      </c>
      <c r="N119" s="46" t="n">
        <f aca="false">N29</f>
        <v>0</v>
      </c>
      <c r="O119" s="46" t="n">
        <f aca="false">O29</f>
        <v>0</v>
      </c>
      <c r="P119" s="46" t="n">
        <f aca="false">P29</f>
        <v>335000</v>
      </c>
      <c r="Q119" s="46" t="n">
        <f aca="false">Q29</f>
        <v>300000</v>
      </c>
      <c r="R119" s="46" t="n">
        <f aca="false">R29</f>
        <v>35000</v>
      </c>
      <c r="S119" s="46" t="n">
        <f aca="false">S29</f>
        <v>0</v>
      </c>
      <c r="T119" s="46" t="n">
        <f aca="false">T29</f>
        <v>0</v>
      </c>
      <c r="U119" s="46" t="n">
        <f aca="false">U29</f>
        <v>0</v>
      </c>
      <c r="V119" s="46" t="n">
        <f aca="false">V29</f>
        <v>323100</v>
      </c>
      <c r="W119" s="46" t="n">
        <f aca="false">W29</f>
        <v>323100</v>
      </c>
      <c r="X119" s="46" t="n">
        <f aca="false">X29</f>
        <v>0</v>
      </c>
      <c r="Y119" s="46" t="n">
        <f aca="false">Y29</f>
        <v>0</v>
      </c>
      <c r="Z119" s="46" t="n">
        <f aca="false">Z29</f>
        <v>0</v>
      </c>
      <c r="AA119" s="46" t="n">
        <f aca="false">AA29</f>
        <v>0</v>
      </c>
      <c r="AB119" s="46" t="n">
        <f aca="false">AB29</f>
        <v>0</v>
      </c>
      <c r="AC119" s="46" t="n">
        <f aca="false">AC29</f>
        <v>0</v>
      </c>
      <c r="AD119" s="46" t="n">
        <f aca="false">AD29</f>
        <v>0</v>
      </c>
      <c r="AE119" s="46" t="n">
        <f aca="false">AE29</f>
        <v>0</v>
      </c>
      <c r="AF119" s="46" t="n">
        <f aca="false">AF29</f>
        <v>0</v>
      </c>
      <c r="AG119" s="46" t="n">
        <f aca="false">AG29</f>
        <v>0</v>
      </c>
      <c r="AH119" s="46" t="n">
        <f aca="false">AH29</f>
        <v>0</v>
      </c>
      <c r="AI119" s="46" t="n">
        <f aca="false">AI29</f>
        <v>0</v>
      </c>
      <c r="AJ119" s="46" t="n">
        <f aca="false">AJ29</f>
        <v>0</v>
      </c>
      <c r="AK119" s="46" t="n">
        <f aca="false">AK29</f>
        <v>0</v>
      </c>
      <c r="AL119" s="82"/>
      <c r="AM119" s="82"/>
    </row>
    <row r="120" customFormat="false" ht="27.75" hidden="false" customHeight="true" outlineLevel="0" collapsed="false">
      <c r="A120" s="17"/>
      <c r="B120" s="84" t="s">
        <v>185</v>
      </c>
      <c r="C120" s="84"/>
      <c r="D120" s="84"/>
      <c r="E120" s="84"/>
      <c r="F120" s="84"/>
      <c r="G120" s="84"/>
      <c r="H120" s="84"/>
      <c r="I120" s="46" t="n">
        <f aca="false">I30+I31+I32+I33</f>
        <v>1141915.89362</v>
      </c>
      <c r="J120" s="46" t="n">
        <f aca="false">J30+J31+J32+J33</f>
        <v>0</v>
      </c>
      <c r="K120" s="46" t="n">
        <f aca="false">K30+K31+K32+K33</f>
        <v>0</v>
      </c>
      <c r="L120" s="46" t="n">
        <f aca="false">L30+L31+L32+L33</f>
        <v>0</v>
      </c>
      <c r="M120" s="46" t="n">
        <f aca="false">M30+M31+M32+M33</f>
        <v>0</v>
      </c>
      <c r="N120" s="46" t="n">
        <f aca="false">N30+N31+N32+N33</f>
        <v>0</v>
      </c>
      <c r="O120" s="46" t="n">
        <f aca="false">O30+O31+O32+O33</f>
        <v>0</v>
      </c>
      <c r="P120" s="46" t="n">
        <f aca="false">P30+P31+P32+P33</f>
        <v>300000</v>
      </c>
      <c r="Q120" s="46" t="n">
        <f aca="false">Q30+Q31+Q32+Q33</f>
        <v>0</v>
      </c>
      <c r="R120" s="46" t="n">
        <f aca="false">R30+R31+R32+R33</f>
        <v>300000</v>
      </c>
      <c r="S120" s="46" t="n">
        <f aca="false">S30+S31+S32+S33</f>
        <v>0</v>
      </c>
      <c r="T120" s="46" t="n">
        <f aca="false">T30+T31+T32+T33</f>
        <v>0</v>
      </c>
      <c r="U120" s="46" t="n">
        <f aca="false">U30+U31+U32+U33</f>
        <v>0</v>
      </c>
      <c r="V120" s="46" t="n">
        <f aca="false">V30+V31+V32+V33</f>
        <v>615957.44681</v>
      </c>
      <c r="W120" s="46" t="n">
        <f aca="false">W30+W31+W32+W33</f>
        <v>250000</v>
      </c>
      <c r="X120" s="46" t="n">
        <f aca="false">X30+X31+X32+X33</f>
        <v>365957.44681</v>
      </c>
      <c r="Y120" s="46" t="n">
        <f aca="false">Y30+Y31+Y32+Y33</f>
        <v>0</v>
      </c>
      <c r="Z120" s="46" t="n">
        <f aca="false">Z30+Z31+Z32+Z33</f>
        <v>0</v>
      </c>
      <c r="AA120" s="46" t="n">
        <f aca="false">AA30+AA31+AA32+AA33</f>
        <v>0</v>
      </c>
      <c r="AB120" s="46" t="n">
        <f aca="false">AB30+AB31+AB32+AB33</f>
        <v>0</v>
      </c>
      <c r="AC120" s="46" t="n">
        <f aca="false">AC30+AC31+AC32+AC33</f>
        <v>0</v>
      </c>
      <c r="AD120" s="46" t="n">
        <f aca="false">AD30+AD31+AD32+AD33</f>
        <v>0</v>
      </c>
      <c r="AE120" s="46" t="n">
        <f aca="false">AE30+AE31+AE32+AE33</f>
        <v>0</v>
      </c>
      <c r="AF120" s="46" t="n">
        <f aca="false">AF30+AF31+AF32+AF33</f>
        <v>0</v>
      </c>
      <c r="AG120" s="46" t="n">
        <f aca="false">AG30+AG31+AG32+AG33</f>
        <v>0</v>
      </c>
      <c r="AH120" s="46" t="n">
        <f aca="false">AH30+AH31+AH32+AH33</f>
        <v>0</v>
      </c>
      <c r="AI120" s="46" t="n">
        <f aca="false">AI30+AI31+AI32+AI33</f>
        <v>0</v>
      </c>
      <c r="AJ120" s="46" t="n">
        <f aca="false">AJ30+AJ31+AJ32+AJ33</f>
        <v>0</v>
      </c>
      <c r="AK120" s="46" t="n">
        <f aca="false">AK30+AK31+AK32+AK33</f>
        <v>0</v>
      </c>
      <c r="AL120" s="82"/>
      <c r="AM120" s="82"/>
    </row>
    <row r="121" customFormat="false" ht="27.75" hidden="false" customHeight="true" outlineLevel="0" collapsed="false">
      <c r="A121" s="17"/>
      <c r="B121" s="84" t="s">
        <v>218</v>
      </c>
      <c r="C121" s="84"/>
      <c r="D121" s="84"/>
      <c r="E121" s="84"/>
      <c r="F121" s="84"/>
      <c r="G121" s="84"/>
      <c r="H121" s="84"/>
      <c r="I121" s="46" t="n">
        <f aca="false">I34</f>
        <v>810456.2</v>
      </c>
      <c r="J121" s="46" t="n">
        <f aca="false">J34</f>
        <v>810456.2</v>
      </c>
      <c r="K121" s="46" t="n">
        <f aca="false">K34</f>
        <v>802351.6</v>
      </c>
      <c r="L121" s="46" t="n">
        <f aca="false">L34</f>
        <v>8104.6</v>
      </c>
      <c r="M121" s="46" t="n">
        <f aca="false">M34</f>
        <v>0</v>
      </c>
      <c r="N121" s="46" t="n">
        <f aca="false">N34</f>
        <v>0</v>
      </c>
      <c r="O121" s="46" t="n">
        <f aca="false">O34</f>
        <v>0</v>
      </c>
      <c r="P121" s="46" t="n">
        <f aca="false">P34</f>
        <v>0</v>
      </c>
      <c r="Q121" s="46" t="n">
        <f aca="false">Q34</f>
        <v>0</v>
      </c>
      <c r="R121" s="46" t="n">
        <f aca="false">R34</f>
        <v>0</v>
      </c>
      <c r="S121" s="46" t="n">
        <f aca="false">S34</f>
        <v>0</v>
      </c>
      <c r="T121" s="46" t="n">
        <f aca="false">T34</f>
        <v>0</v>
      </c>
      <c r="U121" s="46" t="n">
        <f aca="false">U34</f>
        <v>0</v>
      </c>
      <c r="V121" s="46" t="n">
        <f aca="false">V34</f>
        <v>0</v>
      </c>
      <c r="W121" s="46" t="n">
        <f aca="false">W34</f>
        <v>0</v>
      </c>
      <c r="X121" s="46" t="n">
        <f aca="false">X34</f>
        <v>0</v>
      </c>
      <c r="Y121" s="46" t="n">
        <f aca="false">Y34</f>
        <v>0</v>
      </c>
      <c r="Z121" s="46" t="n">
        <f aca="false">Z34</f>
        <v>0</v>
      </c>
      <c r="AA121" s="46" t="n">
        <f aca="false">AA34</f>
        <v>0</v>
      </c>
      <c r="AB121" s="46" t="n">
        <f aca="false">AB34</f>
        <v>0</v>
      </c>
      <c r="AC121" s="46" t="n">
        <f aca="false">AC34</f>
        <v>0</v>
      </c>
      <c r="AD121" s="46" t="n">
        <f aca="false">AD34</f>
        <v>0</v>
      </c>
      <c r="AE121" s="46" t="n">
        <f aca="false">AE34</f>
        <v>0</v>
      </c>
      <c r="AF121" s="46" t="n">
        <f aca="false">AF34</f>
        <v>0</v>
      </c>
      <c r="AG121" s="46" t="n">
        <f aca="false">AG34</f>
        <v>0</v>
      </c>
      <c r="AH121" s="46" t="n">
        <f aca="false">AH34</f>
        <v>0</v>
      </c>
      <c r="AI121" s="46" t="n">
        <f aca="false">AI34</f>
        <v>0</v>
      </c>
      <c r="AJ121" s="46" t="n">
        <f aca="false">AJ34</f>
        <v>0</v>
      </c>
      <c r="AK121" s="46" t="n">
        <f aca="false">AK34</f>
        <v>0</v>
      </c>
      <c r="AL121" s="82"/>
      <c r="AM121" s="82"/>
    </row>
    <row r="122" customFormat="false" ht="27.75" hidden="false" customHeight="true" outlineLevel="0" collapsed="false">
      <c r="A122" s="17"/>
      <c r="B122" s="83" t="s">
        <v>233</v>
      </c>
      <c r="C122" s="83"/>
      <c r="D122" s="83"/>
      <c r="E122" s="83"/>
      <c r="F122" s="83"/>
      <c r="G122" s="83"/>
      <c r="H122" s="83"/>
      <c r="I122" s="46" t="n">
        <f aca="false">I35+I36+I37+I38+I39+I40+I41+I42+I51+I52+I53+I43+I44+I45+I46+I47+I48+I49+I50</f>
        <v>5365701.0263542</v>
      </c>
      <c r="J122" s="46" t="n">
        <f aca="false">J35+J36+J37+J38+J39+J40+J41+J42+J51+J52+J53+J43+J44+J45+J46+J47+J48+J49+J50</f>
        <v>1228956.62153</v>
      </c>
      <c r="K122" s="46" t="n">
        <f aca="false">K35+K36+K37+K38+K39+K40+K41+K42+K51+K52+K53+K43+K44+K45+K46+K47+K48+K49+K50</f>
        <v>65290</v>
      </c>
      <c r="L122" s="46" t="n">
        <f aca="false">L35+L36+L37+L38+L39+L40+L41+L42+L51+L52+L53+L43+L44+L45+L46+L47+L48+L49+L50</f>
        <v>778755.73158</v>
      </c>
      <c r="M122" s="46" t="n">
        <f aca="false">M35+M36+M37+M38+M39+M40+M41+M42+M51+M52+M53+M43+M44+M45+M46+M47+M48+M49+M50</f>
        <v>951.31856</v>
      </c>
      <c r="N122" s="46" t="n">
        <f aca="false">N35+N36+N37+N38+N39+N40+N41+N42+N51+N52+N53+N43+N44+N45+N46+N47+N48+N49+N50</f>
        <v>383959.57139</v>
      </c>
      <c r="O122" s="46" t="n">
        <f aca="false">O35+O36+O37+O38+O39+O40+O41+O42+O51+O52+O53+O43+O44+O45+O46+O47+O48+O49+O50</f>
        <v>0</v>
      </c>
      <c r="P122" s="46" t="n">
        <f aca="false">P35+P36+P37+P38+P39+P40+P41+P42+P51+P52+P53+P43+P44+P45+P46+P47+P48+P49+P50</f>
        <v>917530.7825</v>
      </c>
      <c r="Q122" s="46" t="n">
        <f aca="false">Q35+Q36+Q37+Q38+Q39+Q40+Q41+Q42+Q51+Q52+Q53+Q43+Q44+Q45+Q46+Q47+Q48+Q49+Q50</f>
        <v>0</v>
      </c>
      <c r="R122" s="46" t="n">
        <f aca="false">R35+R36+R37+R38+R39+R40+R41+R42+R51+R52+R53+R43+R44+R45+R46+R47+R48+R49+R50</f>
        <v>230024.45931</v>
      </c>
      <c r="S122" s="46" t="n">
        <f aca="false">S35+S36+S37+S38+S39+S40+S41+S42+S51+S52+S53+S43+S44+S45+S46+S47+S48+S49+S50</f>
        <v>888.13075</v>
      </c>
      <c r="T122" s="46" t="n">
        <f aca="false">T35+T36+T37+T38+T39+T40+T41+T42+T51+T52+T53+T43+T44+T45+T46+T47+T48+T49+T50</f>
        <v>686618.19244</v>
      </c>
      <c r="U122" s="46" t="n">
        <f aca="false">U35+U36+U37+U38+U39+U40+U41+U42+U51+U52+U53+U43+U44+U45+U46+U47+U48+U49+U50</f>
        <v>0</v>
      </c>
      <c r="V122" s="46" t="n">
        <f aca="false">V35+V36+V37+V38+V39+V40+V41+V42+V51+V52+V53+V43+V44+V45+V46+V47+V48+V49+V50</f>
        <v>879051.6223242</v>
      </c>
      <c r="W122" s="46" t="n">
        <f aca="false">W35+W36+W37+W38+W39+W40+W41+W42+W51+W52+W53+W43+W44+W45+W46+W47+W48+W49+W50</f>
        <v>0</v>
      </c>
      <c r="X122" s="46" t="n">
        <f aca="false">X35+X36+X37+X38+X39+X40+X41+X42+X51+X52+X53+X43+X44+X45+X46+X47+X48+X49+X50</f>
        <v>197750</v>
      </c>
      <c r="Y122" s="46" t="n">
        <f aca="false">Y35+Y36+Y37+Y38+Y39+Y40+Y41+Y42+Y51+Y52+Y53+Y43+Y44+Y45+Y46+Y47+Y48+Y49+Y50</f>
        <v>681.3015842</v>
      </c>
      <c r="Z122" s="46" t="n">
        <f aca="false">Z35+Z36+Z37+Z38+Z39+Z40+Z41+Z42+Z51+Z52+Z53+Z43+Z44+Z45+Z46+Z47+Z48+Z49+Z50</f>
        <v>680620.32074</v>
      </c>
      <c r="AA122" s="46" t="n">
        <f aca="false">AA35+AA36+AA37+AA38+AA39+AA40+AA41+AA42+AA51+AA52+AA53+AA43+AA44+AA45+AA46+AA47+AA48+AA49+AA50</f>
        <v>0</v>
      </c>
      <c r="AB122" s="46" t="n">
        <f aca="false">AB35+AB36+AB37+AB38+AB39+AB40+AB41+AB42+AB51+AB52+AB53+AB43+AB44+AB45+AB46+AB47+AB48+AB49+AB50</f>
        <v>2221412</v>
      </c>
      <c r="AC122" s="46" t="n">
        <f aca="false">AC35+AC36+AC37+AC38+AC39+AC40+AC41+AC42+AC51+AC52+AC53+AC43+AC44+AC45+AC46+AC47+AC48+AC49+AC50</f>
        <v>0</v>
      </c>
      <c r="AD122" s="46" t="n">
        <f aca="false">AD35+AD36+AD37+AD38+AD39+AD40+AD41+AD42+AD51+AD52+AD53+AD43+AD44+AD45+AD46+AD47+AD48+AD49+AD50</f>
        <v>799197.48335</v>
      </c>
      <c r="AE122" s="46" t="n">
        <f aca="false">AE35+AE36+AE37+AE38+AE39+AE40+AE41+AE42+AE51+AE52+AE53+AE43+AE44+AE45+AE46+AE47+AE48+AE49+AE50</f>
        <v>2023.662</v>
      </c>
      <c r="AF122" s="46" t="n">
        <f aca="false">AF35+AF36+AF37+AF38+AF39+AF40+AF41+AF42+AF51+AF52+AF53+AF43+AF44+AF45+AF46+AF47+AF48+AF49+AF50</f>
        <v>1420190.85465</v>
      </c>
      <c r="AG122" s="46" t="n">
        <f aca="false">AG35+AG36+AG37+AG38+AG39+AG40+AG41+AG42+AG51+AG52+AG53+AG43+AG44+AG45+AG46+AG47+AG48+AG49+AG50</f>
        <v>118750</v>
      </c>
      <c r="AH122" s="46" t="n">
        <f aca="false">AH35+AH36+AH37+AH38+AH39+AH40+AH41+AH42+AH51+AH52+AH53+AH43+AH44+AH45+AH46+AH47+AH48+AH49+AH50</f>
        <v>0</v>
      </c>
      <c r="AI122" s="46" t="n">
        <f aca="false">AI35+AI36+AI37+AI38+AI39+AI40+AI41+AI42+AI51+AI52+AI53+AI43+AI44+AI45+AI46+AI47+AI48+AI49+AI50</f>
        <v>118750</v>
      </c>
      <c r="AJ122" s="46" t="n">
        <f aca="false">AJ35+AJ36+AJ37+AJ38+AJ39+AJ40+AJ41+AJ42+AJ51+AJ52+AJ53+AJ43+AJ44+AJ45+AJ46+AJ47+AJ48+AJ49+AJ50</f>
        <v>0</v>
      </c>
      <c r="AK122" s="46" t="n">
        <f aca="false">AK35+AK36+AK37+AK38+AK39+AK40+AK41+AK42+AK51+AK52+AK53+AK43+AK44+AK45+AK46+AK47+AK48+AK49+AK50</f>
        <v>0</v>
      </c>
      <c r="AL122" s="82"/>
      <c r="AM122" s="82"/>
    </row>
    <row r="123" customFormat="false" ht="27.75" hidden="false" customHeight="true" outlineLevel="0" collapsed="false">
      <c r="A123" s="17"/>
      <c r="B123" s="83" t="s">
        <v>307</v>
      </c>
      <c r="C123" s="83"/>
      <c r="D123" s="83"/>
      <c r="E123" s="83"/>
      <c r="F123" s="83"/>
      <c r="G123" s="83"/>
      <c r="H123" s="83"/>
      <c r="I123" s="46" t="n">
        <f aca="false">I54+I55+I56+I57+I58+I59+I60+I61+I62+I63+I64+I65+I66+I67+I68+I69+I70+I71+I72+I73+I74+I75+I76+I77+I78</f>
        <v>14059415.55022</v>
      </c>
      <c r="J123" s="46" t="n">
        <f aca="false">J54+J55+J56+J57+J58+J59+J60+J61+J62+J63+J64+J65+J66+J67+J68+J69+J70+J71+J72+J73+J74+J75+J76+J77+J78</f>
        <v>10229518.26302</v>
      </c>
      <c r="K123" s="46" t="n">
        <f aca="false">K54+K55+K56+K57+K58+K59+K60+K61+K62+K63+K64+K65+K66+K67+K68+K69+K70+K71+K72+K73+K74+K75+K76+K77+K78</f>
        <v>8849931.16004</v>
      </c>
      <c r="L123" s="46" t="n">
        <f aca="false">L54+L55+L56+L57+L58+L59+L60+L61+L62+L63+L64+L65+L66+L67+L68+L69+L70+L71+L72+L73+L74+L75+L76+L77+L78</f>
        <v>1372131.62968</v>
      </c>
      <c r="M123" s="46" t="n">
        <f aca="false">M54+M55+M56+M57+M58+M59+M60+M61+M62+M63+M64+M65+M66+M67+M68+M69+M70+M71+M72+M73+M74+M75+M76+M77+M78</f>
        <v>7455.4733</v>
      </c>
      <c r="N123" s="46" t="n">
        <f aca="false">N54+N55+N56+N57+N58+N59+N60+N61+N62+N63+N64+N65+N66+N67+N68+N69+N70+N71+N72+N73+N74+N75+N76+N77+N78</f>
        <v>0</v>
      </c>
      <c r="O123" s="46" t="n">
        <f aca="false">O54+O55+O56+O57+O58+O59+O60+O61+O62+O63+O64+O65+O66+O67+O68+O69+O70+O71+O72+O73+O74+O75+O76+O77+O78</f>
        <v>0</v>
      </c>
      <c r="P123" s="46" t="n">
        <f aca="false">P54+P55+P56+P57+P58+P59+P60+P61+P62+P63+P64+P65+P66+P67+P68+P69+P70+P71+P72+P73+P74+P75+P76+P77+P78</f>
        <v>2833527.80021</v>
      </c>
      <c r="Q123" s="46" t="n">
        <f aca="false">Q54+Q55+Q56+Q57+Q58+Q59+Q60+Q61+Q62+Q63+Q64+Q65+Q66+Q67+Q68+Q69+Q70+Q71+Q72+Q73+Q74+Q75+Q76+Q77+Q78</f>
        <v>463535.5</v>
      </c>
      <c r="R123" s="46" t="n">
        <f aca="false">R54+R55+R56+R57+R58+R59+R60+R61+R62+R63+R64+R65+R66+R67+R68+R69+R70+R71+R72+R73+R74+R75+R76+R77+R78</f>
        <v>2367672.81783</v>
      </c>
      <c r="S123" s="46" t="n">
        <f aca="false">S54+S55+S56+S57+S58+S59+S60+S61+S62+S63+S64+S65+S66+S67+S68+S69+S70+S71+S72+S73+S74+S75+S76+S77+S78</f>
        <v>2319.48238</v>
      </c>
      <c r="T123" s="46" t="n">
        <f aca="false">T54+T55+T56+T57+T58+T59+T60+T61+T62+T63+T64+T65+T66+T67+T68+T69+T70+T71+T72+T73+T74+T75+T76+T77+T78</f>
        <v>0</v>
      </c>
      <c r="U123" s="46" t="n">
        <f aca="false">U54+U55+U56+U57+U58+U59+U60+U61+U62+U63+U64+U65+U66+U67+U68+U69+U70+U71+U72+U73+U74+U75+U76+U77+U78</f>
        <v>0</v>
      </c>
      <c r="V123" s="46" t="n">
        <f aca="false">V54+V55+V56+V57+V58+V59+V60+V61+V62+V63+V64+V65+V66+V67+V68+V69+V70+V71+V72+V73+V74+V75+V76+V77+V78</f>
        <v>996369.48699</v>
      </c>
      <c r="W123" s="46" t="n">
        <f aca="false">W54+W55+W56+W57+W58+W59+W60+W61+W62+W63+W64+W65+W66+W67+W68+W69+W70+W71+W72+W73+W74+W75+W76+W77+W78</f>
        <v>215473.9</v>
      </c>
      <c r="X123" s="46" t="n">
        <f aca="false">X54+X55+X56+X57+X58+X59+X60+X61+X62+X63+X64+X65+X66+X67+X68+X69+X70+X71+X72+X73+X74+X75+X76+X77+X78</f>
        <v>780895.58699</v>
      </c>
      <c r="Y123" s="46" t="n">
        <f aca="false">Y54+Y55+Y56+Y57+Y58+Y59+Y60+Y61+Y62+Y63+Y64+Y65+Y66+Y67+Y68+Y69+Y70+Y71+Y72+Y73+Y74+Y75+Y76+Y77+Y78</f>
        <v>0</v>
      </c>
      <c r="Z123" s="46" t="n">
        <f aca="false">Z54+Z55+Z56+Z57+Z58+Z59+Z60+Z61+Z62+Z63+Z64+Z65+Z66+Z67+Z68+Z69+Z70+Z71+Z72+Z73+Z74+Z75+Z76+Z77+Z78</f>
        <v>0</v>
      </c>
      <c r="AA123" s="46" t="n">
        <f aca="false">AA54+AA55+AA56+AA57+AA58+AA59+AA60+AA61+AA62+AA63+AA64+AA65+AA66+AA67+AA68+AA69+AA70+AA71+AA72+AA73+AA74+AA75+AA76+AA77+AA78</f>
        <v>0</v>
      </c>
      <c r="AB123" s="46" t="n">
        <f aca="false">AB54+AB55+AB56+AB57+AB58+AB59+AB60+AB61+AB62+AB63+AB64+AB65+AB66+AB67+AB68+AB69+AB70+AB71+AB72+AB73+AB74+AB75+AB76+AB77+AB78</f>
        <v>0</v>
      </c>
      <c r="AC123" s="46" t="n">
        <f aca="false">AC54+AC55+AC56+AC57+AC58+AC59+AC60+AC61+AC62+AC63+AC64+AC65+AC66+AC67+AC68+AC69+AC70+AC71+AC72+AC73+AC74+AC75+AC76+AC77+AC78</f>
        <v>0</v>
      </c>
      <c r="AD123" s="46" t="n">
        <f aca="false">AD54+AD55+AD56+AD57+AD58+AD59+AD60+AD61+AD62+AD63+AD64+AD65+AD66+AD67+AD68+AD69+AD70+AD71+AD72+AD73+AD74+AD75+AD76+AD77+AD78</f>
        <v>0</v>
      </c>
      <c r="AE123" s="46" t="n">
        <f aca="false">AE54+AE55+AE56+AE57+AE58+AE59+AE60+AE61+AE62+AE63+AE64+AE65+AE66+AE67+AE68+AE69+AE70+AE71+AE72+AE73+AE74+AE75+AE76+AE77+AE78</f>
        <v>0</v>
      </c>
      <c r="AF123" s="46" t="n">
        <f aca="false">AF54+AF55+AF56+AF57+AF58+AF59+AF60+AF61+AF62+AF63+AF64+AF65+AF66+AF67+AF68+AF69+AF70+AF71+AF72+AF73+AF74+AF75+AF76+AF77+AF78</f>
        <v>0</v>
      </c>
      <c r="AG123" s="46" t="n">
        <f aca="false">AG54+AG55+AG56+AG57+AG58+AG59+AG60+AG61+AG62+AG63+AG64+AG65+AG66+AG67+AG68+AG69+AG70+AG71+AG72+AG73+AG74+AG75+AG76+AG77+AG78</f>
        <v>0</v>
      </c>
      <c r="AH123" s="46" t="n">
        <f aca="false">AH54+AH55+AH56+AH57+AH58+AH59+AH60+AH61+AH62+AH63+AH64+AH65+AH66+AH67+AH68+AH69+AH70+AH71+AH72+AH73+AH74+AH75+AH76+AH77+AH78</f>
        <v>0</v>
      </c>
      <c r="AI123" s="46" t="n">
        <f aca="false">AI54+AI55+AI56+AI57+AI58+AI59+AI60+AI61+AI62+AI63+AI64+AI65+AI66+AI67+AI68+AI69+AI70+AI71+AI72+AI73+AI74+AI75+AI76+AI77+AI78</f>
        <v>0</v>
      </c>
      <c r="AJ123" s="46" t="n">
        <f aca="false">AJ54+AJ55+AJ56+AJ57+AJ58+AJ59+AJ60+AJ61+AJ62+AJ63+AJ64+AJ65+AJ66+AJ67+AJ68+AJ69+AJ70+AJ71+AJ72+AJ73+AJ74+AJ75+AJ76+AJ77+AJ78</f>
        <v>0</v>
      </c>
      <c r="AK123" s="46" t="n">
        <f aca="false">AK54+AK55+AK56+AK57+AK58+AK59+AK60+AK61+AK62+AK63+AK64+AK65+AK66+AK67+AK68+AK69+AK70+AK71+AK72+AK73+AK74+AK75+AK76+AK77+AK78</f>
        <v>0</v>
      </c>
      <c r="AL123" s="82"/>
      <c r="AM123" s="82"/>
    </row>
    <row r="124" customFormat="false" ht="27.75" hidden="false" customHeight="true" outlineLevel="0" collapsed="false">
      <c r="A124" s="17"/>
      <c r="B124" s="83" t="s">
        <v>443</v>
      </c>
      <c r="C124" s="83"/>
      <c r="D124" s="83"/>
      <c r="E124" s="83"/>
      <c r="F124" s="83"/>
      <c r="G124" s="83"/>
      <c r="H124" s="83"/>
      <c r="I124" s="46" t="n">
        <f aca="false">I79+I80+I81+I82+I83+I84+I85+I86+I87+I88+I89+I90+I91+I92+I93+I94+I113+I114+I95+I96+I97</f>
        <v>9679870.06709</v>
      </c>
      <c r="J124" s="46" t="n">
        <f aca="false">J79+J80+J81+J82+J83+J84+J85+J86+J87+J88+J89+J90+J91+J92+J93+J94+J113+J114+J95+J96+J97</f>
        <v>1913918.15937</v>
      </c>
      <c r="K124" s="46" t="n">
        <f aca="false">K79+K80+K81+K82+K83+K84+K85+K86+K87+K88+K89+K90+K91+K92+K93+K94+K113+K114+K95+K96+K97</f>
        <v>1603367.50844</v>
      </c>
      <c r="L124" s="46" t="n">
        <f aca="false">L79+L80+L81+L82+L83+L84+L85+L86+L87+L88+L89+L90+L91+L92+L93+L94+L113+L114+L95+L96+L97</f>
        <v>303598.73077</v>
      </c>
      <c r="M124" s="46" t="n">
        <f aca="false">M79+M80+M81+M82+M83+M84+M85+M86+M87+M88+M89+M90+M91+M92+M93+M94+M113+M114+M95+M96+M97</f>
        <v>6951.92016</v>
      </c>
      <c r="N124" s="46" t="n">
        <f aca="false">N79+N80+N81+N82+N83+N84+N85+N86+N87+N88+N89+N90+N91+N92+N93+N94+N113+N114+N95+N96+N97</f>
        <v>0</v>
      </c>
      <c r="O124" s="46" t="n">
        <f aca="false">O79+O80+O81+O82+O83+O84+O85+O86+O87+O88+O89+O90+O91+O92+O93+O94+O113+O114+O95+O96+O97</f>
        <v>0</v>
      </c>
      <c r="P124" s="46" t="n">
        <f aca="false">P79+P80+P81+P82+P83+P84+P85+P86+P87+P88+P89+P90+P91+P92+P93+P94+P113+P114+P95+P96+P97</f>
        <v>2852735.77442</v>
      </c>
      <c r="Q124" s="46" t="n">
        <f aca="false">Q79+Q80+Q81+Q82+Q83+Q84+Q85+Q86+Q87+Q88+Q89+Q90+Q91+Q92+Q93+Q94+Q113+Q114+Q95+Q96+Q97</f>
        <v>1700792.5</v>
      </c>
      <c r="R124" s="46" t="n">
        <f aca="false">R79+R80+R81+R82+R83+R84+R85+R86+R87+R88+R89+R90+R91+R92+R93+R94+R113+R114+R95+R96+R97</f>
        <v>1094900.604968</v>
      </c>
      <c r="S124" s="46" t="n">
        <f aca="false">S79+S80+S81+S82+S83+S84+S85+S86+S87+S88+S89+S90+S91+S92+S93+S94+S113+S114+S95+S96+S97</f>
        <v>57042.669452</v>
      </c>
      <c r="T124" s="46" t="n">
        <f aca="false">T79+T80+T81+T82+T83+T84+T85+T86+T87+T88+T89+T90+T91+T92+T93+T94+T113+T114+T95+T96+T97</f>
        <v>0</v>
      </c>
      <c r="U124" s="46" t="n">
        <f aca="false">U79+U80+U81+U82+U83+U84+U85+U86+U87+U88+U89+U90+U91+U92+U93+U94+U113+U114+U95+U96+U97</f>
        <v>0</v>
      </c>
      <c r="V124" s="46" t="n">
        <f aca="false">V79+V80+V81+V82+V83+V84+V85+V86+V87+V88+V89+V90+V91+V92+V93+V94+V113+V114+V95+V96+V97</f>
        <v>3145704.4333</v>
      </c>
      <c r="W124" s="46" t="n">
        <f aca="false">W79+W80+W81+W82+W83+W84+W85+W86+W87+W88+W89+W90+W91+W92+W93+W94+W113+W114+W95+W96+W97</f>
        <v>2283090</v>
      </c>
      <c r="X124" s="46" t="n">
        <f aca="false">X79+X80+X81+X82+X83+X84+X85+X86+X87+X88+X89+X90+X91+X92+X93+X94+X113+X114+X95+X96+X97</f>
        <v>852410.3333</v>
      </c>
      <c r="Y124" s="46" t="n">
        <f aca="false">Y79+Y80+Y81+Y82+Y83+Y84+Y85+Y86+Y87+Y88+Y89+Y90+Y91+Y92+Y93+Y94+Y113+Y114+Y95+Y96+Y97</f>
        <v>10204.1</v>
      </c>
      <c r="Z124" s="46" t="n">
        <f aca="false">Z79+Z80+Z81+Z82+Z83+Z84+Z85+Z86+Z87+Z88+Z89+Z90+Z91+Z92+Z93+Z94+Z113+Z114+Z95+Z96+Z97</f>
        <v>0</v>
      </c>
      <c r="AA124" s="46" t="n">
        <f aca="false">AA79+AA80+AA81+AA82+AA83+AA84+AA85+AA86+AA87+AA88+AA89+AA90+AA91+AA92+AA93+AA94+AA113+AA114+AA95+AA96+AA97</f>
        <v>0</v>
      </c>
      <c r="AB124" s="46" t="n">
        <f aca="false">AB79+AB80+AB81+AB82+AB83+AB84+AB85+AB86+AB87+AB88+AB89+AB90+AB91+AB92+AB93+AB94+AB113+AB114+AB95+AB96+AB97</f>
        <v>995140.8</v>
      </c>
      <c r="AC124" s="46" t="n">
        <f aca="false">AC79+AC80+AC81+AC82+AC83+AC84+AC85+AC86+AC87+AC88+AC89+AC90+AC91+AC92+AC93+AC94+AC113+AC114+AC95+AC96+AC97</f>
        <v>975238</v>
      </c>
      <c r="AD124" s="46" t="n">
        <f aca="false">AD79+AD80+AD81+AD82+AD83+AD84+AD85+AD86+AD87+AD88+AD89+AD90+AD91+AD92+AD93+AD94+AD113+AD114+AD95+AD96+AD97</f>
        <v>9951.39999999991</v>
      </c>
      <c r="AE124" s="46" t="n">
        <f aca="false">AE79+AE80+AE81+AE82+AE83+AE84+AE85+AE86+AE87+AE88+AE89+AE90+AE91+AE92+AE93+AE94+AE113+AE114+AE95+AE96+AE97</f>
        <v>9951.40000000002</v>
      </c>
      <c r="AF124" s="46" t="n">
        <f aca="false">AF79+AF80+AF81+AF82+AF83+AF84+AF85+AF86+AF87+AF88+AF89+AF90+AF91+AF92+AF93+AF94+AF113+AF114+AF95+AF96+AF97</f>
        <v>0</v>
      </c>
      <c r="AG124" s="46" t="n">
        <f aca="false">AG79+AG80+AG81+AG82+AG83+AG84+AG85+AG86+AG87+AG88+AG89+AG90+AG91+AG92+AG93+AG94+AG113+AG114+AG95+AG96+AG97</f>
        <v>772370.9</v>
      </c>
      <c r="AH124" s="46" t="n">
        <f aca="false">AH79+AH80+AH81+AH82+AH83+AH84+AH85+AH86+AH87+AH88+AH89+AH90+AH91+AH92+AH93+AH94+AH113+AH114+AH95+AH96+AH97</f>
        <v>756923.5</v>
      </c>
      <c r="AI124" s="46" t="n">
        <f aca="false">AI79+AI80+AI81+AI82+AI83+AI84+AI85+AI86+AI87+AI88+AI89+AI90+AI91+AI92+AI93+AI94+AI113+AI114+AI95+AI96+AI97</f>
        <v>7723.7</v>
      </c>
      <c r="AJ124" s="46" t="n">
        <f aca="false">AJ79+AJ80+AJ81+AJ82+AJ83+AJ84+AJ85+AJ86+AJ87+AJ88+AJ89+AJ90+AJ91+AJ92+AJ93+AJ94+AJ113+AJ114+AJ95+AJ96+AJ97</f>
        <v>7723.7</v>
      </c>
      <c r="AK124" s="46" t="n">
        <f aca="false">AK79+AK80+AK81+AK82+AK83+AK84+AK85+AK86+AK87+AK88+AK89+AK90+AK91+AK92+AK93+AK94+AK113+AK114+AK95+AK96+AK97</f>
        <v>0</v>
      </c>
      <c r="AL124" s="82"/>
      <c r="AM124" s="82"/>
    </row>
    <row r="125" customFormat="false" ht="27.75" hidden="false" customHeight="true" outlineLevel="0" collapsed="false">
      <c r="A125" s="17"/>
      <c r="B125" s="36" t="s">
        <v>549</v>
      </c>
      <c r="C125" s="36"/>
      <c r="D125" s="36"/>
      <c r="E125" s="36"/>
      <c r="F125" s="36"/>
      <c r="G125" s="36"/>
      <c r="H125" s="36"/>
      <c r="I125" s="46" t="n">
        <f aca="false">I98+I99</f>
        <v>211031.2014</v>
      </c>
      <c r="J125" s="46" t="n">
        <f aca="false">J98+J99</f>
        <v>0</v>
      </c>
      <c r="K125" s="46" t="n">
        <f aca="false">K98+K99</f>
        <v>0</v>
      </c>
      <c r="L125" s="46" t="n">
        <f aca="false">L98+L99</f>
        <v>0</v>
      </c>
      <c r="M125" s="46" t="n">
        <f aca="false">M98+M99</f>
        <v>0</v>
      </c>
      <c r="N125" s="46" t="n">
        <f aca="false">N98+N99</f>
        <v>0</v>
      </c>
      <c r="O125" s="46" t="n">
        <f aca="false">O98+O99</f>
        <v>0</v>
      </c>
      <c r="P125" s="46" t="n">
        <f aca="false">P98+P99</f>
        <v>21000</v>
      </c>
      <c r="Q125" s="46" t="n">
        <f aca="false">Q98+Q99</f>
        <v>0</v>
      </c>
      <c r="R125" s="46" t="n">
        <f aca="false">R98+R99</f>
        <v>21000</v>
      </c>
      <c r="S125" s="46" t="n">
        <f aca="false">S98+S99</f>
        <v>0</v>
      </c>
      <c r="T125" s="46" t="n">
        <f aca="false">T98+T99</f>
        <v>0</v>
      </c>
      <c r="U125" s="46" t="n">
        <f aca="false">U98+U99</f>
        <v>0</v>
      </c>
      <c r="V125" s="46" t="n">
        <f aca="false">V98+V99</f>
        <v>55031.2014</v>
      </c>
      <c r="W125" s="46" t="n">
        <f aca="false">W98+W99</f>
        <v>0</v>
      </c>
      <c r="X125" s="46" t="n">
        <f aca="false">X98+X99</f>
        <v>55031.2014</v>
      </c>
      <c r="Y125" s="46" t="n">
        <f aca="false">Y98+Y99</f>
        <v>0</v>
      </c>
      <c r="Z125" s="46" t="n">
        <f aca="false">Z98+Z99</f>
        <v>0</v>
      </c>
      <c r="AA125" s="46" t="n">
        <f aca="false">AA98+AA99</f>
        <v>0</v>
      </c>
      <c r="AB125" s="46" t="n">
        <f aca="false">AB98+AB99</f>
        <v>135000</v>
      </c>
      <c r="AC125" s="46" t="n">
        <f aca="false">AC98+AC99</f>
        <v>118800</v>
      </c>
      <c r="AD125" s="46" t="n">
        <f aca="false">AD98+AD99</f>
        <v>16200</v>
      </c>
      <c r="AE125" s="46" t="n">
        <f aca="false">AE98+AE99</f>
        <v>0</v>
      </c>
      <c r="AF125" s="46" t="n">
        <f aca="false">AF98+AF99</f>
        <v>0</v>
      </c>
      <c r="AG125" s="46" t="n">
        <f aca="false">AG98+AG99</f>
        <v>0</v>
      </c>
      <c r="AH125" s="46" t="n">
        <f aca="false">AH98+AH99</f>
        <v>0</v>
      </c>
      <c r="AI125" s="46" t="n">
        <f aca="false">AI98+AI99</f>
        <v>0</v>
      </c>
      <c r="AJ125" s="46" t="n">
        <f aca="false">AJ98+AJ99</f>
        <v>0</v>
      </c>
      <c r="AK125" s="46" t="n">
        <f aca="false">AK98+AK99</f>
        <v>0</v>
      </c>
      <c r="AL125" s="82"/>
      <c r="AM125" s="82"/>
    </row>
    <row r="126" customFormat="false" ht="27.75" hidden="false" customHeight="true" outlineLevel="0" collapsed="false">
      <c r="A126" s="17"/>
      <c r="B126" s="83" t="s">
        <v>562</v>
      </c>
      <c r="C126" s="83"/>
      <c r="D126" s="83"/>
      <c r="E126" s="83"/>
      <c r="F126" s="83"/>
      <c r="G126" s="83"/>
      <c r="H126" s="83"/>
      <c r="I126" s="46" t="n">
        <f aca="false">I100+I101+I102</f>
        <v>92535.48814</v>
      </c>
      <c r="J126" s="46" t="n">
        <f aca="false">J100+J101+J102</f>
        <v>77635.48814</v>
      </c>
      <c r="K126" s="46" t="n">
        <f aca="false">K100+K101+K102</f>
        <v>0</v>
      </c>
      <c r="L126" s="46" t="n">
        <f aca="false">L100+L101+L102</f>
        <v>77635.48814</v>
      </c>
      <c r="M126" s="46" t="n">
        <f aca="false">M100+M101+M102</f>
        <v>0</v>
      </c>
      <c r="N126" s="46" t="n">
        <f aca="false">N100+N101+N102</f>
        <v>0</v>
      </c>
      <c r="O126" s="46" t="n">
        <f aca="false">O100+O101+O102</f>
        <v>0</v>
      </c>
      <c r="P126" s="46" t="n">
        <f aca="false">P100+P101+P102</f>
        <v>14900</v>
      </c>
      <c r="Q126" s="46" t="n">
        <f aca="false">Q100+Q101+Q102</f>
        <v>0</v>
      </c>
      <c r="R126" s="46" t="n">
        <f aca="false">R100+R101+R102</f>
        <v>14900</v>
      </c>
      <c r="S126" s="46" t="n">
        <f aca="false">S100+S101+S102</f>
        <v>0</v>
      </c>
      <c r="T126" s="46" t="n">
        <f aca="false">T100+T101+T102</f>
        <v>0</v>
      </c>
      <c r="U126" s="46" t="n">
        <f aca="false">U100+U101+U102</f>
        <v>0</v>
      </c>
      <c r="V126" s="46" t="n">
        <f aca="false">V100+V101+V102</f>
        <v>0</v>
      </c>
      <c r="W126" s="46" t="n">
        <f aca="false">W100+W101+W102</f>
        <v>0</v>
      </c>
      <c r="X126" s="46" t="n">
        <f aca="false">X100+X101+X102</f>
        <v>0</v>
      </c>
      <c r="Y126" s="46" t="n">
        <f aca="false">Y100+Y101+Y102</f>
        <v>0</v>
      </c>
      <c r="Z126" s="46" t="n">
        <f aca="false">Z100+Z101+Z102</f>
        <v>0</v>
      </c>
      <c r="AA126" s="46" t="n">
        <f aca="false">AA100+AA101+AA102</f>
        <v>0</v>
      </c>
      <c r="AB126" s="46" t="n">
        <f aca="false">AB100+AB101+AB102</f>
        <v>0</v>
      </c>
      <c r="AC126" s="46" t="n">
        <f aca="false">AC100+AC101+AC102</f>
        <v>0</v>
      </c>
      <c r="AD126" s="46" t="n">
        <f aca="false">AD100+AD101+AD102</f>
        <v>0</v>
      </c>
      <c r="AE126" s="46" t="n">
        <f aca="false">AE100+AE101+AE102</f>
        <v>0</v>
      </c>
      <c r="AF126" s="46" t="n">
        <f aca="false">AF100+AF101+AF102</f>
        <v>0</v>
      </c>
      <c r="AG126" s="46" t="n">
        <f aca="false">AG100+AG101+AG102</f>
        <v>0</v>
      </c>
      <c r="AH126" s="46" t="n">
        <f aca="false">AH100+AH101+AH102</f>
        <v>0</v>
      </c>
      <c r="AI126" s="46" t="n">
        <f aca="false">AI100+AI101+AI102</f>
        <v>0</v>
      </c>
      <c r="AJ126" s="46" t="n">
        <f aca="false">AJ100+AJ101+AJ102</f>
        <v>0</v>
      </c>
      <c r="AK126" s="46" t="n">
        <f aca="false">AK100+AK101+AK102</f>
        <v>0</v>
      </c>
      <c r="AL126" s="82"/>
      <c r="AM126" s="82"/>
    </row>
    <row r="127" customFormat="false" ht="27.75" hidden="false" customHeight="true" outlineLevel="0" collapsed="false">
      <c r="A127" s="17"/>
      <c r="B127" s="83" t="s">
        <v>584</v>
      </c>
      <c r="C127" s="83"/>
      <c r="D127" s="83"/>
      <c r="E127" s="83"/>
      <c r="F127" s="83"/>
      <c r="G127" s="83"/>
      <c r="H127" s="83"/>
      <c r="I127" s="46" t="n">
        <f aca="false">I103+I104+I105+I106+I107</f>
        <v>3290917.50875</v>
      </c>
      <c r="J127" s="46" t="n">
        <f aca="false">J103+J104+J105+J106+J107</f>
        <v>2556917.50875</v>
      </c>
      <c r="K127" s="46" t="n">
        <f aca="false">K103+K104+K105+K106+K107</f>
        <v>0</v>
      </c>
      <c r="L127" s="46" t="n">
        <f aca="false">L103+L104+L105+L106+L107</f>
        <v>106907.6479</v>
      </c>
      <c r="M127" s="46" t="n">
        <f aca="false">M103+M104+M105+M106+M107</f>
        <v>9.86085</v>
      </c>
      <c r="N127" s="46" t="n">
        <f aca="false">N103+N104+N105+N106+N107</f>
        <v>0</v>
      </c>
      <c r="O127" s="46" t="n">
        <f aca="false">O103+O104+O105+O106+O107</f>
        <v>2450000</v>
      </c>
      <c r="P127" s="46" t="n">
        <f aca="false">P103+P104+P105+P106+P107</f>
        <v>334000</v>
      </c>
      <c r="Q127" s="46" t="n">
        <f aca="false">Q103+Q104+Q105+Q106+Q107</f>
        <v>0</v>
      </c>
      <c r="R127" s="46" t="n">
        <f aca="false">R103+R104+R105+R106+R107</f>
        <v>333836</v>
      </c>
      <c r="S127" s="46" t="n">
        <f aca="false">S103+S104+S105+S106+S107</f>
        <v>164</v>
      </c>
      <c r="T127" s="46" t="n">
        <f aca="false">T103+T104+T105+T106+T107</f>
        <v>0</v>
      </c>
      <c r="U127" s="46" t="n">
        <f aca="false">U103+U104+U105+U106+U107</f>
        <v>0</v>
      </c>
      <c r="V127" s="46" t="n">
        <f aca="false">V103+V104+V105+V106+V107</f>
        <v>200000</v>
      </c>
      <c r="W127" s="46" t="n">
        <f aca="false">W103+W104+W105+W106+W107</f>
        <v>0</v>
      </c>
      <c r="X127" s="46" t="n">
        <f aca="false">X103+X104+X105+X106+X107</f>
        <v>199800</v>
      </c>
      <c r="Y127" s="46" t="n">
        <f aca="false">Y103+Y104+Y105+Y106+Y107</f>
        <v>200</v>
      </c>
      <c r="Z127" s="46" t="n">
        <f aca="false">Z103+Z104+Z105+Z106+Z107</f>
        <v>0</v>
      </c>
      <c r="AA127" s="46" t="n">
        <f aca="false">AA103+AA104+AA105+AA106+AA107</f>
        <v>0</v>
      </c>
      <c r="AB127" s="46" t="n">
        <f aca="false">AB103+AB104+AB105+AB106+AB107</f>
        <v>200000</v>
      </c>
      <c r="AC127" s="46" t="n">
        <f aca="false">AC103+AC104+AC105+AC106+AC107</f>
        <v>0</v>
      </c>
      <c r="AD127" s="46" t="n">
        <f aca="false">AD103+AD104+AD105+AD106+AD107</f>
        <v>199800</v>
      </c>
      <c r="AE127" s="46" t="n">
        <f aca="false">AE103+AE104+AE105+AE106+AE107</f>
        <v>200</v>
      </c>
      <c r="AF127" s="46" t="n">
        <f aca="false">AF103+AF104+AF105+AF106+AF107</f>
        <v>0</v>
      </c>
      <c r="AG127" s="46" t="n">
        <f aca="false">AG103+AG104+AG105+AG106+AG107</f>
        <v>0</v>
      </c>
      <c r="AH127" s="46" t="n">
        <f aca="false">AH103+AH104+AH105+AH106+AH107</f>
        <v>0</v>
      </c>
      <c r="AI127" s="46" t="n">
        <f aca="false">AI103+AI104+AI105+AI106+AI107</f>
        <v>0</v>
      </c>
      <c r="AJ127" s="46" t="n">
        <f aca="false">AJ103+AJ104+AJ105+AJ106+AJ107</f>
        <v>0</v>
      </c>
      <c r="AK127" s="46" t="n">
        <f aca="false">AK103+AK104+AK105+AK106+AK107</f>
        <v>0</v>
      </c>
      <c r="AL127" s="82"/>
      <c r="AM127" s="82"/>
    </row>
    <row r="128" customFormat="false" ht="27.75" hidden="false" customHeight="true" outlineLevel="0" collapsed="false">
      <c r="A128" s="17"/>
      <c r="B128" s="83" t="s">
        <v>607</v>
      </c>
      <c r="C128" s="83"/>
      <c r="D128" s="83"/>
      <c r="E128" s="83"/>
      <c r="F128" s="83"/>
      <c r="G128" s="83"/>
      <c r="H128" s="83"/>
      <c r="I128" s="46" t="n">
        <f aca="false">I108</f>
        <v>986687.56667</v>
      </c>
      <c r="J128" s="46" t="n">
        <f aca="false">J108</f>
        <v>693939.4</v>
      </c>
      <c r="K128" s="46" t="n">
        <f aca="false">K108</f>
        <v>687000</v>
      </c>
      <c r="L128" s="46" t="n">
        <f aca="false">L108</f>
        <v>6939.4</v>
      </c>
      <c r="M128" s="46" t="n">
        <f aca="false">M108</f>
        <v>0</v>
      </c>
      <c r="N128" s="46" t="n">
        <f aca="false">N108</f>
        <v>0</v>
      </c>
      <c r="O128" s="46" t="n">
        <f aca="false">O108</f>
        <v>0</v>
      </c>
      <c r="P128" s="46" t="n">
        <f aca="false">P108</f>
        <v>202861.5</v>
      </c>
      <c r="Q128" s="46" t="n">
        <f aca="false">Q108</f>
        <v>178518.1</v>
      </c>
      <c r="R128" s="46" t="n">
        <f aca="false">R108</f>
        <v>24343.4</v>
      </c>
      <c r="S128" s="46" t="n">
        <f aca="false">S108</f>
        <v>0</v>
      </c>
      <c r="T128" s="46" t="n">
        <f aca="false">T108</f>
        <v>0</v>
      </c>
      <c r="U128" s="46" t="n">
        <f aca="false">U108</f>
        <v>0</v>
      </c>
      <c r="V128" s="46" t="n">
        <f aca="false">V108</f>
        <v>89886.66667</v>
      </c>
      <c r="W128" s="46" t="n">
        <f aca="false">W108</f>
        <v>88987.8</v>
      </c>
      <c r="X128" s="46" t="n">
        <f aca="false">X108</f>
        <v>898.86667</v>
      </c>
      <c r="Y128" s="46" t="n">
        <f aca="false">Y108</f>
        <v>0</v>
      </c>
      <c r="Z128" s="46" t="n">
        <f aca="false">Z108</f>
        <v>0</v>
      </c>
      <c r="AA128" s="46" t="n">
        <f aca="false">AA108</f>
        <v>0</v>
      </c>
      <c r="AB128" s="46" t="n">
        <f aca="false">AB108</f>
        <v>0</v>
      </c>
      <c r="AC128" s="46" t="n">
        <f aca="false">AC108</f>
        <v>0</v>
      </c>
      <c r="AD128" s="46" t="n">
        <f aca="false">AD108</f>
        <v>0</v>
      </c>
      <c r="AE128" s="46" t="n">
        <f aca="false">AE108</f>
        <v>0</v>
      </c>
      <c r="AF128" s="46" t="n">
        <f aca="false">AF108</f>
        <v>0</v>
      </c>
      <c r="AG128" s="46" t="n">
        <f aca="false">AG108</f>
        <v>0</v>
      </c>
      <c r="AH128" s="46" t="n">
        <f aca="false">AH108</f>
        <v>0</v>
      </c>
      <c r="AI128" s="46" t="n">
        <f aca="false">AI108</f>
        <v>0</v>
      </c>
      <c r="AJ128" s="46" t="n">
        <f aca="false">AJ108</f>
        <v>0</v>
      </c>
      <c r="AK128" s="46" t="n">
        <f aca="false">AK108</f>
        <v>0</v>
      </c>
      <c r="AL128" s="82"/>
      <c r="AM128" s="82"/>
    </row>
    <row r="129" customFormat="false" ht="27.75" hidden="false" customHeight="true" outlineLevel="0" collapsed="false">
      <c r="A129" s="17"/>
      <c r="B129" s="83" t="s">
        <v>613</v>
      </c>
      <c r="C129" s="83"/>
      <c r="D129" s="83"/>
      <c r="E129" s="83"/>
      <c r="F129" s="83"/>
      <c r="G129" s="83"/>
      <c r="H129" s="83"/>
      <c r="I129" s="46" t="n">
        <f aca="false">I109+I110+I111+I112</f>
        <v>4671872.61686</v>
      </c>
      <c r="J129" s="46" t="n">
        <f aca="false">J109+J110+J111+J112</f>
        <v>1216033.35518</v>
      </c>
      <c r="K129" s="46" t="n">
        <f aca="false">K109+K110+K111+K112</f>
        <v>879752.2</v>
      </c>
      <c r="L129" s="46" t="n">
        <f aca="false">L109+L110+L111+L112</f>
        <v>8886.38589</v>
      </c>
      <c r="M129" s="46" t="n">
        <f aca="false">M109+M110+M111+M112</f>
        <v>126801.21884</v>
      </c>
      <c r="N129" s="46" t="n">
        <f aca="false">N109+N110+N111+N112</f>
        <v>0</v>
      </c>
      <c r="O129" s="46" t="n">
        <f aca="false">O109+O110+O111+O112</f>
        <v>200593.55045</v>
      </c>
      <c r="P129" s="46" t="n">
        <f aca="false">P109+P110+P111+P112</f>
        <v>2209750.66506</v>
      </c>
      <c r="Q129" s="46" t="n">
        <f aca="false">Q109+Q110+Q111+Q112</f>
        <v>2035606.3</v>
      </c>
      <c r="R129" s="46" t="n">
        <f aca="false">R109+R110+R111+R112</f>
        <v>7629.46482</v>
      </c>
      <c r="S129" s="46" t="n">
        <f aca="false">S109+S110+S111+S112</f>
        <v>6457.66534</v>
      </c>
      <c r="T129" s="46" t="n">
        <f aca="false">T109+T110+T111+T112</f>
        <v>0</v>
      </c>
      <c r="U129" s="46" t="n">
        <f aca="false">U109+U110+U111+U112</f>
        <v>160057.2349</v>
      </c>
      <c r="V129" s="46" t="n">
        <f aca="false">V109+V110+V111+V112</f>
        <v>1246088.59662</v>
      </c>
      <c r="W129" s="46" t="n">
        <f aca="false">W109+W110+W111+W112</f>
        <v>1231183.1</v>
      </c>
      <c r="X129" s="46" t="n">
        <f aca="false">X109+X110+X111+X112</f>
        <v>13748.23762</v>
      </c>
      <c r="Y129" s="46" t="n">
        <f aca="false">Y109+Y110+Y111+Y112</f>
        <v>1157.259</v>
      </c>
      <c r="Z129" s="46" t="n">
        <f aca="false">Z109+Z110+Z111+Z112</f>
        <v>0</v>
      </c>
      <c r="AA129" s="46" t="n">
        <f aca="false">AA109+AA110+AA111+AA112</f>
        <v>0</v>
      </c>
      <c r="AB129" s="46" t="n">
        <f aca="false">AB109+AB110+AB111+AB112</f>
        <v>0</v>
      </c>
      <c r="AC129" s="46" t="n">
        <f aca="false">AC109+AC110+AC111+AC112</f>
        <v>0</v>
      </c>
      <c r="AD129" s="46" t="n">
        <f aca="false">AD109+AD110+AD111+AD112</f>
        <v>0</v>
      </c>
      <c r="AE129" s="46" t="n">
        <f aca="false">AE109+AE110+AE111+AE112</f>
        <v>0</v>
      </c>
      <c r="AF129" s="46" t="n">
        <f aca="false">AF109+AF110+AF111+AF112</f>
        <v>0</v>
      </c>
      <c r="AG129" s="46" t="n">
        <f aca="false">AG109+AG110+AG111+AG112</f>
        <v>0</v>
      </c>
      <c r="AH129" s="46" t="n">
        <f aca="false">AH109+AH110+AH111+AH112</f>
        <v>0</v>
      </c>
      <c r="AI129" s="46" t="n">
        <f aca="false">AI109+AI110+AI111+AI112</f>
        <v>0</v>
      </c>
      <c r="AJ129" s="46" t="n">
        <f aca="false">AJ109+AJ110+AJ111+AJ112</f>
        <v>0</v>
      </c>
      <c r="AK129" s="46" t="n">
        <f aca="false">AK109+AK110+AK111+AK112</f>
        <v>0</v>
      </c>
      <c r="AL129" s="82"/>
      <c r="AM129" s="82"/>
    </row>
  </sheetData>
  <mergeCells count="46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115:A129"/>
    <mergeCell ref="B115:H115"/>
    <mergeCell ref="B116:H116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29:H12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22317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2025-10-16T14:58:09Z</dcterms:modified>
  <cp:revision>748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