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L44" authorId="0">
      <text>
        <r>
          <rPr>
            <sz val="10"/>
            <rFont val="Open Sans"/>
            <family val="2"/>
          </rPr>
          <t xml:space="preserve">Первоначальная сумма ассигнований 13 100,00000 тыс. рублей, оптимизировано 3 173,56385 тыс. рублей</t>
        </r>
      </text>
    </comment>
    <comment ref="L59" authorId="0">
      <text>
        <r>
          <rPr>
            <sz val="10"/>
            <rFont val="Open Sans"/>
            <family val="2"/>
          </rPr>
          <t xml:space="preserve">Первоначальная сумма ассигнований 18 008,07144 тыс. рублей, оптимизировано 18 008,07144 тыс. рублей</t>
        </r>
      </text>
    </comment>
    <comment ref="R53" authorId="0">
      <text>
        <r>
          <rPr>
            <sz val="10"/>
            <rFont val="Open Sans"/>
            <family val="2"/>
          </rPr>
          <t xml:space="preserve">Первоначальная сумма ассигнований 705 122,92083 тыс. рублей, оптимизировано 46 531,49688 тыс. рублей</t>
        </r>
      </text>
    </comment>
    <comment ref="R104" authorId="0">
      <text>
        <r>
          <rPr>
            <sz val="10"/>
            <rFont val="Open Sans"/>
            <family val="2"/>
          </rPr>
          <t xml:space="preserve">Первоначальная сумма ассигнований 61 867,06940 тыс. рублей, оптимизировано 56 138,63708 тыс. рублей</t>
        </r>
      </text>
    </comment>
    <comment ref="R105" authorId="0">
      <text>
        <r>
          <rPr>
            <sz val="10"/>
            <rFont val="Open Sans"/>
            <family val="2"/>
          </rPr>
          <t xml:space="preserve">Первоначальная сумма ассигнований 24 850,00000 тыс. рублей, оптимизировано 22 948,96750 тыс. рублей.</t>
        </r>
      </text>
    </comment>
  </commentList>
</comments>
</file>

<file path=xl/sharedStrings.xml><?xml version="1.0" encoding="utf-8"?>
<sst xmlns="http://schemas.openxmlformats.org/spreadsheetml/2006/main" count="1977" uniqueCount="641">
  <si>
    <t xml:space="preserve">Приложение к постановлению  Правительства Камчатского края
от _______________ № ___________</t>
  </si>
  <si>
    <t xml:space="preserve">«Приложение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</si>
  <si>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</si>
  <si>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</si>
  <si>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</si>
  <si>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</si>
  <si>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</si>
  <si>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</si>
  <si>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</si>
  <si>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</si>
  <si>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</si>
  <si>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</si>
  <si>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</si>
  <si>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</si>
  <si>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</si>
  <si>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</si>
  <si>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</si>
  <si>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</si>
  <si>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</si>
  <si>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</si>
  <si>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</si>
  <si>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</si>
  <si>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</si>
  <si>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</si>
  <si>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</si>
  <si>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</si>
  <si>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</si>
  <si>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</si>
  <si>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</si>
  <si>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</si>
  <si>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</si>
  <si>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</si>
  <si>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</si>
  <si>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</si>
  <si>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</si>
  <si>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</si>
  <si>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</si>
  <si>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</si>
  <si>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</si>
  <si>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</si>
  <si>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«Развитие здравоохранения Камчатского края»</t>
  </si>
  <si>
    <t xml:space="preserve">Министерство строительства и жилищной политики Камчатского края</t>
  </si>
  <si>
    <t xml:space="preserve">Региональный проект «Модернизация первичного звена здравоохранения Российской Федерации (Камчатский край)»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</si>
  <si>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</si>
  <si>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</si>
  <si>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«Карагинская районная больница»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</si>
  <si>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</si>
  <si>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</si>
  <si>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</si>
  <si>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</si>
  <si>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«Служба заказчика Министерства строительства и жилищной политики Камчатского края»</t>
  </si>
  <si>
    <t xml:space="preserve">Министерство здравоохранения Камчатского края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</si>
  <si>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</si>
  <si>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</si>
  <si>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</si>
  <si>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</si>
  <si>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</si>
  <si>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«Тигильская районная больница»</t>
  </si>
  <si>
    <t xml:space="preserve">Тигильский муниципальный округ</t>
  </si>
  <si>
    <t xml:space="preserve">182,4 кв. м</t>
  </si>
  <si>
    <t xml:space="preserve">КГКУ «Единая дирекция по строительству объекта «Камчатская краевая больница»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</si>
  <si>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</si>
  <si>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«Карагинская районная больница»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</si>
  <si>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</si>
  <si>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</si>
  <si>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</si>
  <si>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</si>
  <si>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</si>
  <si>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</si>
  <si>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</si>
  <si>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</si>
  <si>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</si>
  <si>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</si>
  <si>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«Строительство Камчатской краевой больницы»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</si>
  <si>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</si>
  <si>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</si>
  <si>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</si>
  <si>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</si>
  <si>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</si>
  <si>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«Олюторская районная больница»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</si>
  <si>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</si>
  <si>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</si>
  <si>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</si>
  <si>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</si>
  <si>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26 000 кв. м</t>
  </si>
  <si>
    <t xml:space="preserve">8.</t>
  </si>
  <si>
    <t xml:space="preserve">Озерновская районная больница. Государственное бюджетное учреждение здравоохранения Камчатского края «Озерновская районная больница»  </t>
  </si>
  <si>
    <t xml:space="preserve">Усть-Большерецкий муниципальный округ</t>
  </si>
  <si>
    <t xml:space="preserve">2 500 кв. м</t>
  </si>
  <si>
    <t xml:space="preserve">государственная 
Камчатского края </t>
  </si>
  <si>
    <t xml:space="preserve">проектные работы</t>
  </si>
  <si>
    <t xml:space="preserve">9.</t>
  </si>
  <si>
    <t xml:space="preserve">Соболевская районная больница. Государственное бюджетное учреждение здравоохранения Камчатского края «Соболевская районная больница»</t>
  </si>
  <si>
    <t xml:space="preserve">Соболевский муниципальный район</t>
  </si>
  <si>
    <t xml:space="preserve">переходящие проектные работы, 
вновь начинаемый </t>
  </si>
  <si>
    <t xml:space="preserve">10.</t>
  </si>
  <si>
    <t xml:space="preserve">Быстринская районная больница. Государственное бюджетное учреждение здравоохранения Камчатского края «Быстринская районная больница»</t>
  </si>
  <si>
    <t xml:space="preserve">Быстринский муниципальный округ</t>
  </si>
  <si>
    <t xml:space="preserve">вновь начинаемый </t>
  </si>
  <si>
    <t xml:space="preserve">11.</t>
  </si>
  <si>
    <t xml:space="preserve">Государственная программа Камчатского края  «Развитие образования в Камчатском крае»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</si>
  <si>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</si>
  <si>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</si>
  <si>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</si>
  <si>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</si>
  <si>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</si>
  <si>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</si>
  <si>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</si>
  <si>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</si>
  <si>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</si>
  <si>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12.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</si>
  <si>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</si>
  <si>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</si>
  <si>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</si>
  <si>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</si>
  <si>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</si>
  <si>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КГАУ «Центр развития инфраструктуры  образования»</t>
  </si>
  <si>
    <t xml:space="preserve">Министерство образования Камчатского края, КГАУ «Центр развития инфраструктуры образования»</t>
  </si>
  <si>
    <t xml:space="preserve">13.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</si>
  <si>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</si>
  <si>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</si>
  <si>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</si>
  <si>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«Средняя школа № 40 по ул. Вольского микрорайона «Северо-Восток» в г. Петропавловске – Камчатском</t>
  </si>
  <si>
    <t xml:space="preserve">Развитие инфраструктуры образования в Камчатском крае</t>
  </si>
  <si>
    <t xml:space="preserve">9 096,5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</si>
  <si>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</si>
  <si>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</si>
  <si>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</si>
  <si>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</si>
  <si>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14.</t>
  </si>
  <si>
    <t xml:space="preserve">Государственная программа Камчатского края «Развитие культуры в Камчатском крае»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</si>
  <si>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</si>
  <si>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</si>
  <si>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</si>
  <si>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«Корякская школа искусств им. Д.Б. Кабалевского»</t>
  </si>
  <si>
    <t xml:space="preserve">Городской округ «поселок Палана»</t>
  </si>
  <si>
    <t xml:space="preserve">Инвестиционные мероприятия в сфере культуры</t>
  </si>
  <si>
    <t xml:space="preserve">310 чел / 
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</si>
  <si>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</si>
  <si>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</si>
  <si>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</si>
  <si>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15.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</si>
  <si>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</si>
  <si>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</si>
  <si>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</si>
  <si>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
9 356,2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</si>
  <si>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</si>
  <si>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</si>
  <si>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16.</t>
  </si>
  <si>
    <t xml:space="preserve">Культура,  кинематография.
Культура</t>
  </si>
  <si>
    <t xml:space="preserve">Сохранение объекта культурного наследия регионального значения «Дом № 13 по ул. Красинцев в г.Петропавловске-Камчатском»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</si>
  <si>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</si>
  <si>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 м</t>
  </si>
  <si>
    <t xml:space="preserve">Администрация Петропавловск-Камчатского городского округа</t>
  </si>
  <si>
    <t xml:space="preserve">100 056,32000 
тыс. рублей</t>
  </si>
  <si>
    <t xml:space="preserve">муниципальная</t>
  </si>
  <si>
    <t xml:space="preserve">от 24.11.2021 
№ 41-1-1-3-069533-2021</t>
  </si>
  <si>
    <t xml:space="preserve">17.</t>
  </si>
  <si>
    <t xml:space="preserve">Министерство имущественных и земельных отношений Камчатского края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</si>
  <si>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41:01:0010121:14 и расположенного на нём объекта недвижимого имущества)</t>
  </si>
  <si>
    <t xml:space="preserve">738 кв. м</t>
  </si>
  <si>
    <t xml:space="preserve">приобретение</t>
  </si>
  <si>
    <t xml:space="preserve">18.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</si>
  <si>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41:01:0010121:1979 и расположенных на нём объектов недвижимого имущества)</t>
  </si>
  <si>
    <t xml:space="preserve">1068 кв. м</t>
  </si>
  <si>
    <t xml:space="preserve">19.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</si>
  <si>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41:01:0010121:24 и расположенного на нём объекта недвижимого имущества)</t>
  </si>
  <si>
    <t xml:space="preserve">151 кв. м</t>
  </si>
  <si>
    <t xml:space="preserve">20.</t>
  </si>
  <si>
    <t xml:space="preserve">Государственная программа Камчатского края «Социальная поддержка граждан в Камчатском крае»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</si>
  <si>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</si>
  <si>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</si>
  <si>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</si>
  <si>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</si>
  <si>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</si>
  <si>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</si>
  <si>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2030 год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</si>
  <si>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</si>
  <si>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</si>
  <si>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2 077 500,00 
тыс. рублей</t>
  </si>
  <si>
    <t xml:space="preserve">21.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</si>
  <si>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</si>
  <si>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</si>
  <si>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</si>
  <si>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</si>
  <si>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</si>
  <si>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</si>
  <si>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</si>
  <si>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</si>
  <si>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</si>
  <si>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</si>
  <si>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</si>
  <si>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22.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</si>
  <si>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</si>
  <si>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</si>
  <si>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</si>
  <si>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</si>
  <si>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</si>
  <si>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</si>
  <si>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</si>
  <si>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</si>
  <si>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23.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</si>
  <si>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</si>
  <si>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</si>
  <si>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</si>
  <si>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76 чел</t>
  </si>
  <si>
    <t xml:space="preserve">КГАУДО «СШОР по ЗВС»</t>
  </si>
  <si>
    <t xml:space="preserve">323 383,99000 
тыс. рублей</t>
  </si>
  <si>
    <t xml:space="preserve">  вновь начинаемый СМР</t>
  </si>
  <si>
    <t xml:space="preserve">от 17.06.2022 
№ 41-1-1-3-038710-2022</t>
  </si>
  <si>
    <t xml:space="preserve">24.</t>
  </si>
  <si>
    <t xml:space="preserve">Государственная программа Камчатского края «Развитие экономики и внешнеэкономической деятельности Камчатского края»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</si>
  <si>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</si>
  <si>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</si>
  <si>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</si>
  <si>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</si>
  <si>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</si>
  <si>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2 522 п. м</t>
  </si>
  <si>
    <t xml:space="preserve">Министерство экономического развития Камчатского края</t>
  </si>
  <si>
    <t xml:space="preserve">МКУ «Служба благоустройства Петропавловск-Камчатского городского округа»</t>
  </si>
  <si>
    <t xml:space="preserve">25.</t>
  </si>
  <si>
    <t xml:space="preserve">Общегосударственные вопросы.
Другие общегосударственные вопросы</t>
  </si>
  <si>
    <t xml:space="preserve">Строительство объекта «Система снабжения термоминеральными водами резидентов площадки ТРК «Зеленовские озерки» ТОР «Камчатка», Елизовский муниципальный район, Камчатского края Кеткинского месторождения термоминеральных вод» (I, V этапы)</t>
  </si>
  <si>
    <t xml:space="preserve">Елизовкий муниципальный район, Раздольненское сельское поселение</t>
  </si>
  <si>
    <t xml:space="preserve">бюджетные инвестиции иным юридическим лицам в объекты капитального строительства</t>
  </si>
  <si>
    <t xml:space="preserve">22 л/с</t>
  </si>
  <si>
    <t xml:space="preserve">АО "Тепло земли"</t>
  </si>
  <si>
    <t xml:space="preserve">1 721 034,01000 
тыс. рублей</t>
  </si>
  <si>
    <t xml:space="preserve">собственность юридического лица</t>
  </si>
  <si>
    <t xml:space="preserve">от 13.12.2024
№ 41-1-1-2-075400-2024 </t>
  </si>
  <si>
    <t xml:space="preserve">26.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</si>
  <si>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</si>
  <si>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Региональный проект «Жилье»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</si>
  <si>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</si>
  <si>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</si>
  <si>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</si>
  <si>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</si>
  <si>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</si>
  <si>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27.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</si>
  <si>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</si>
  <si>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</si>
  <si>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</si>
  <si>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28.</t>
  </si>
  <si>
    <t xml:space="preserve">29.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</si>
  <si>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</si>
  <si>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</si>
  <si>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</si>
  <si>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30.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</si>
  <si>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</si>
  <si>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</si>
  <si>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31.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</si>
  <si>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</si>
  <si>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</si>
  <si>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32.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</si>
  <si>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</si>
  <si>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</si>
  <si>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</si>
  <si>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33.</t>
  </si>
  <si>
    <t xml:space="preserve">Администрация Тигильского муниципального округа</t>
  </si>
  <si>
    <t xml:space="preserve">34.</t>
  </si>
  <si>
    <t xml:space="preserve">Региональный проект «Повышение устойчивости жилых домов, основных объектов и систем жизнеобеспечения»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</si>
  <si>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</si>
  <si>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</si>
  <si>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</si>
  <si>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</si>
  <si>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</si>
  <si>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</si>
  <si>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35.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</si>
  <si>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</si>
  <si>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</si>
  <si>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36.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</si>
  <si>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</si>
  <si>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</si>
  <si>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«О порядке предоставления жилых помещений жилищного фонда Камчатского края по договору социального найма» </t>
  </si>
  <si>
    <t xml:space="preserve">Петропавловск-Камчатский городской округ, 
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</si>
  <si>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</si>
  <si>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</si>
  <si>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37.</t>
  </si>
  <si>
    <t xml:space="preserve"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</si>
  <si>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</si>
  <si>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</si>
  <si>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</si>
  <si>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</si>
  <si>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</si>
  <si>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Елизовский муниципальный район, 
Елизовское городское поселение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</si>
  <si>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</si>
  <si>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</si>
  <si>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КГУП «Камчатский водоканал»</t>
  </si>
  <si>
    <t xml:space="preserve">Министерство жилищно-коммунального хозяйства  и энергетики Камчатского края 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</si>
  <si>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</si>
  <si>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</si>
  <si>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</si>
  <si>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38.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</si>
  <si>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</si>
  <si>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</si>
  <si>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</si>
  <si>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</si>
  <si>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547 764,89373
тыс. рублей</t>
  </si>
  <si>
    <t xml:space="preserve">от 28.06.2022 
№ 41-1-1-3-041607-2022;
от 19.10.2022 
№ 41-1-1-2-073756-2022 </t>
  </si>
  <si>
    <t xml:space="preserve">39.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</si>
  <si>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</si>
  <si>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</si>
  <si>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</si>
  <si>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</si>
  <si>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</si>
  <si>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</si>
  <si>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КГКУ  «Дирекция по строительству объекта «Регазификационный комплекс СПГ в  Камчатском крае»</t>
  </si>
  <si>
    <t xml:space="preserve">13 422 826,32218 
тыс. рублей</t>
  </si>
  <si>
    <t xml:space="preserve">от 22.12.2023 
№ 41-1-1-3-080447-2023</t>
  </si>
  <si>
    <t xml:space="preserve">40.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</si>
  <si>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</si>
  <si>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</si>
  <si>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</si>
  <si>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</si>
  <si>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41.</t>
  </si>
  <si>
    <t xml:space="preserve">Строительство КНС -1/1Е, со строительством сетей водоотведения по ул. Береговой, Октябрьской, Мирная</t>
  </si>
  <si>
    <t xml:space="preserve">42.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</si>
  <si>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</si>
  <si>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</si>
  <si>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</si>
  <si>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</si>
  <si>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43.</t>
  </si>
  <si>
    <t xml:space="preserve">Строительство КНС «Заречная« производительностью 3500 м3/сутки со строительством напорных коллекторов Д-200  в г. Елизово</t>
  </si>
  <si>
    <t xml:space="preserve">44.</t>
  </si>
  <si>
    <t xml:space="preserve">Реконструкция КОС-29 км (район «Аэропорт»)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</si>
  <si>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</si>
  <si>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</si>
  <si>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45.</t>
  </si>
  <si>
    <t xml:space="preserve">Реконструкция КОС-29 км (район «Аэропорт») </t>
  </si>
  <si>
    <t xml:space="preserve">46.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</si>
  <si>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</si>
  <si>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</si>
  <si>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</si>
  <si>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
№ 41-1-1-3-050835-2023 </t>
  </si>
  <si>
    <t xml:space="preserve">47.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</si>
  <si>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</si>
  <si>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</si>
  <si>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</si>
  <si>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</si>
  <si>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48.</t>
  </si>
  <si>
    <t xml:space="preserve">Реконструкция канализационных очистных сооружений «Чавыча» г. Петропавловск-Камчатский </t>
  </si>
  <si>
    <t xml:space="preserve">38 000 м. куб / сут</t>
  </si>
  <si>
    <t xml:space="preserve">49.</t>
  </si>
  <si>
    <t xml:space="preserve">Реконструкция канализационных очистных сооружений «Чавыча» г. Петропавловск-Камчатский (проектные работы)</t>
  </si>
  <si>
    <t xml:space="preserve">50.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</si>
  <si>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</si>
  <si>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51.</t>
  </si>
  <si>
    <t xml:space="preserve">Реконструкция системы водоотведения центральной части г. Петропавловска-Камчатского. Канализационная насосная станция КНС «Мехзавод»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</si>
  <si>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</si>
  <si>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</si>
  <si>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</si>
  <si>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52.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</si>
  <si>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 (в том числе проектные работы)</t>
  </si>
  <si>
    <t xml:space="preserve"> 150 м. куб / сут</t>
  </si>
  <si>
    <t xml:space="preserve">53.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</si>
  <si>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</si>
  <si>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</si>
  <si>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54.</t>
  </si>
  <si>
    <t xml:space="preserve">Жилищно-коммунальное хозяйство. 
Коммунальное хозяйство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</si>
  <si>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</si>
  <si>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</si>
  <si>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</si>
  <si>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252 632,60000 
тыс. рублей</t>
  </si>
  <si>
    <t xml:space="preserve">от 01.12.2022 
№ 41-1-1-2-084253-2022</t>
  </si>
  <si>
    <t xml:space="preserve">55.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</si>
  <si>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</si>
  <si>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</si>
  <si>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</si>
  <si>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</si>
  <si>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</si>
  <si>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</si>
  <si>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</si>
  <si>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56.</t>
  </si>
  <si>
    <t xml:space="preserve">Строительство КНС «Заречная»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</si>
  <si>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</si>
  <si>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29 298,00000
тыс. рублей</t>
  </si>
  <si>
    <t xml:space="preserve">57.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</si>
  <si>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</si>
  <si>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</si>
  <si>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811 663,58000
тыс. рублей</t>
  </si>
  <si>
    <t xml:space="preserve">от 12.05.2022 
№ 41-1-1-3-028782-2022</t>
  </si>
  <si>
    <t xml:space="preserve">58.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</si>
  <si>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</si>
  <si>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</si>
  <si>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«Управление капитального строительства и ремонта»</t>
  </si>
  <si>
    <t xml:space="preserve">207 756,05728 
тыс. рублей</t>
  </si>
  <si>
    <t xml:space="preserve">от 12.04.2023 
№ 41-1-1-2-018415-2023 </t>
  </si>
  <si>
    <t xml:space="preserve">59.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</si>
  <si>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</si>
  <si>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</si>
  <si>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</si>
  <si>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</si>
  <si>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60.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</si>
  <si>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</si>
  <si>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</si>
  <si>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 / час</t>
  </si>
  <si>
    <t xml:space="preserve">Администрация Вилючинского городского округа</t>
  </si>
  <si>
    <t xml:space="preserve">308 637,06774 
тыс. рублей</t>
  </si>
  <si>
    <t xml:space="preserve">61.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</si>
  <si>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</si>
  <si>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 / час</t>
  </si>
  <si>
    <t xml:space="preserve">190 503,94275
тыс. рублей</t>
  </si>
  <si>
    <t xml:space="preserve">62.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</si>
  <si>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</si>
  <si>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район, 
сельское поселение «село Средние Пахачи»</t>
  </si>
  <si>
    <t xml:space="preserve">сельское поселение «село Средние Пахачи»</t>
  </si>
  <si>
    <t xml:space="preserve">Администрация сельского поселения «село Средние Пахачи»</t>
  </si>
  <si>
    <t xml:space="preserve">63.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</si>
  <si>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5</t>
  </si>
  <si>
    <t xml:space="preserve">Усть-Камчатский муниципальный округ село Ключи</t>
  </si>
  <si>
    <t xml:space="preserve">33,53 м. куб / час </t>
  </si>
  <si>
    <t xml:space="preserve">24 778,00000 
тыс. рублей</t>
  </si>
  <si>
    <t xml:space="preserve">вновь начинаемый СМР</t>
  </si>
  <si>
    <t xml:space="preserve">от 06.05.2024 
№ 41-1-1-2-021592-2024 </t>
  </si>
  <si>
    <t xml:space="preserve">64.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</si>
  <si>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6</t>
  </si>
  <si>
    <t xml:space="preserve">34,53 м. куб / час </t>
  </si>
  <si>
    <t xml:space="preserve">8 233,28000 
тыс. рублей</t>
  </si>
  <si>
    <t xml:space="preserve">от 19.04.2024 
№ 41-1-1-2-018618-2024 </t>
  </si>
  <si>
    <t xml:space="preserve">65.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</si>
  <si>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7</t>
  </si>
  <si>
    <t xml:space="preserve">35,53 м. куб / час </t>
  </si>
  <si>
    <t xml:space="preserve">27 192,95000 
тыс. рублей</t>
  </si>
  <si>
    <t xml:space="preserve">от 13.05.2024 
№ 41-1-1-2-022453-2024 </t>
  </si>
  <si>
    <t xml:space="preserve">66.</t>
  </si>
  <si>
    <t xml:space="preserve">Государственная программа Камчатского края «Развитие транспортной системы в Камчатском крае»</t>
  </si>
  <si>
    <t xml:space="preserve">Министерство транспорта и дорожного строительства Камчатского края</t>
  </si>
  <si>
    <t xml:space="preserve">Региональный проект «Обновление парка транспортных средств организаций водного транспорта»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</si>
  <si>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</si>
  <si>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</si>
  <si>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</si>
  <si>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</si>
  <si>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</si>
  <si>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</si>
  <si>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67.</t>
  </si>
  <si>
    <t xml:space="preserve">Региональный проект «Создание номерного фонда, инфраструктуры и новых точек притяжения»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</si>
  <si>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</si>
  <si>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</si>
  <si>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«п. Термальный - туристский кластер «Три вулкана»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</si>
  <si>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</si>
  <si>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</si>
  <si>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«Управление автомобильных дорог Камчатского края»</t>
  </si>
  <si>
    <t xml:space="preserve">8 269 542,15600 
тыс. рублей</t>
  </si>
  <si>
    <t xml:space="preserve">от 17.12.2021 
№ 41-1-1-3-078735-2021 </t>
  </si>
  <si>
    <t xml:space="preserve">68.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</si>
  <si>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</si>
  <si>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</si>
  <si>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</si>
  <si>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</si>
  <si>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</si>
  <si>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</si>
  <si>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</si>
  <si>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69.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</si>
  <si>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</si>
  <si>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</si>
  <si>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</si>
  <si>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</si>
  <si>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</si>
  <si>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70.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</si>
  <si>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</si>
  <si>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</si>
  <si>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</si>
  <si>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</si>
  <si>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71.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</si>
  <si>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</si>
  <si>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</si>
  <si>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</si>
  <si>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</si>
  <si>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72.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</si>
  <si>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</si>
  <si>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</si>
  <si>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</si>
  <si>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73.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</si>
  <si>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</si>
  <si>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</si>
  <si>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</si>
  <si>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74.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</si>
  <si>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</si>
  <si>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</si>
  <si>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</si>
  <si>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75.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</si>
  <si>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</si>
  <si>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</si>
  <si>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</si>
  <si>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76.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</si>
  <si>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</si>
  <si>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</si>
  <si>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</si>
  <si>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</si>
  <si>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</si>
  <si>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</si>
  <si>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77.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</si>
  <si>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</si>
  <si>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</si>
  <si>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</si>
  <si>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
тыс. рублей</t>
  </si>
  <si>
    <t xml:space="preserve">муниципальная </t>
  </si>
  <si>
    <t xml:space="preserve">от 05.09.2022 
№ 41-1-1-3-063526-2022</t>
  </si>
  <si>
    <t xml:space="preserve">78.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</si>
  <si>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</si>
  <si>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</si>
  <si>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</si>
  <si>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
тыс. рублей (уточнится проектом)</t>
  </si>
  <si>
    <t xml:space="preserve">79.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</si>
  <si>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</si>
  <si>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</si>
  <si>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
тыс. рублей 
(уточнится проектом)</t>
  </si>
  <si>
    <t xml:space="preserve">80.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</si>
  <si>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</si>
  <si>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</si>
  <si>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</si>
  <si>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
тыс. рублей</t>
  </si>
  <si>
    <t xml:space="preserve">от 23.07.2020 
№ 41-1-1-3-033132-2020;  
От 27.12.2023 
№ 41-1-1-3-081990-2023</t>
  </si>
  <si>
    <t xml:space="preserve">81.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</si>
  <si>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</si>
  <si>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</si>
  <si>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МКУ «Служба автомобильных дорог» </t>
  </si>
  <si>
    <t xml:space="preserve">897 660,90000 
тыс. рублей</t>
  </si>
  <si>
    <t xml:space="preserve">от 28.12.2022 
№ 41-1-1-3-093556-2022</t>
  </si>
  <si>
    <t xml:space="preserve">82.</t>
  </si>
  <si>
    <t xml:space="preserve">Государственная программа Камчатского края «Охрана окружающей среды, воспроизводство и использование природных ресурсов в Камчатском крае»</t>
  </si>
  <si>
    <t xml:space="preserve">Министерство природных ресурсов и экологии Камчатского края</t>
  </si>
  <si>
    <t xml:space="preserve">Региональный проект «Инвестиционные мероприятия в сфере проектирования и строительства гидротехнических сооружений инженерной защиты и берегоукрепления»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</si>
  <si>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</si>
  <si>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</si>
  <si>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</si>
  <si>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
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</si>
  <si>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</si>
  <si>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</si>
  <si>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</si>
  <si>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</si>
  <si>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83.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</si>
  <si>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</si>
  <si>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
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</si>
  <si>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</si>
  <si>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</si>
  <si>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</si>
  <si>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84.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</si>
  <si>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</si>
  <si>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</si>
  <si>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</si>
  <si>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</si>
  <si>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85.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</si>
  <si>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</si>
  <si>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86.</t>
  </si>
  <si>
    <t xml:space="preserve">Государственная программа Камчатского края «Безопасная Камчатка»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</si>
  <si>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</si>
  <si>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</si>
  <si>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</si>
  <si>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</si>
  <si>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«Пожарное депо на 2 выезда»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</si>
  <si>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</si>
  <si>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</si>
  <si>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</si>
  <si>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</si>
  <si>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</si>
  <si>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</si>
  <si>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87.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</si>
  <si>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</si>
  <si>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
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</si>
  <si>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</si>
  <si>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88.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</si>
  <si>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</si>
  <si>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</si>
  <si>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</si>
  <si>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</si>
  <si>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89.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</si>
  <si>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</si>
  <si>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Региональный проект «Экономика замкнутого цикла»</t>
  </si>
  <si>
    <t xml:space="preserve">0605</t>
  </si>
  <si>
    <t xml:space="preserve">Охрана окружающей среды.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</si>
  <si>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</si>
  <si>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«поселок Палана»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</si>
  <si>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</si>
  <si>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</si>
  <si>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Администрация городского округа «поселок Палана»</t>
  </si>
  <si>
    <t xml:space="preserve">переходящие проектные работы</t>
  </si>
  <si>
    <t xml:space="preserve">90.</t>
  </si>
  <si>
    <t xml:space="preserve">Охрана окружающей среды. 
Другие вопросы в области охраны окружающей среды</t>
  </si>
  <si>
    <t xml:space="preserve">Строительство межмуниципального объекта «Комплекс по обработке, утилизации, обезвреживанию и размещению отходов в Петропавловск-Камчатском городском округе» (Экотехнопарк)</t>
  </si>
  <si>
    <t xml:space="preserve">100 000 тонн / год</t>
  </si>
  <si>
    <t xml:space="preserve">АО «Спецтранс»</t>
  </si>
  <si>
    <t xml:space="preserve">91.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</si>
  <si>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</si>
  <si>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</si>
  <si>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</si>
  <si>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92.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</si>
  <si>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</si>
  <si>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</si>
  <si>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93.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</si>
  <si>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</si>
  <si>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94.</t>
  </si>
  <si>
    <t xml:space="preserve">Государственная программа Камчатского края «Формирование современной городской среды в Камчатском крае»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</si>
  <si>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</si>
  <si>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«О концессионных соглашениях»)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</si>
  <si>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</si>
  <si>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</si>
  <si>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95.</t>
  </si>
  <si>
    <t xml:space="preserve">Государственная программа Камчатского края «Комплексное развитие сельских территорий Камчатского края»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</si>
  <si>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</si>
  <si>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«Современный облик сельских территорий»</t>
  </si>
  <si>
    <t xml:space="preserve">Учебный корпус МБОУ «Елизовская средняя школа №1 им. М.В. Ломоносова»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</si>
  <si>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</si>
  <si>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</si>
  <si>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</si>
  <si>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</si>
  <si>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</si>
  <si>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</si>
  <si>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96.</t>
  </si>
  <si>
    <t xml:space="preserve">1101</t>
  </si>
  <si>
    <t xml:space="preserve">Физическая культура и спорт.
Физическая культура</t>
  </si>
  <si>
    <t xml:space="preserve">Строительство «Ледовый дворец в г. Елизово»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</si>
  <si>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</si>
  <si>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</si>
  <si>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</si>
  <si>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97.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</si>
  <si>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</si>
  <si>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</si>
  <si>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</si>
  <si>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</si>
  <si>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</si>
  <si>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98.</t>
  </si>
  <si>
    <t xml:space="preserve">Региональный проект «Развитие транспортной инфраструктуры на сельских территориях»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</si>
  <si>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</si>
  <si>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</si>
  <si>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</si>
  <si>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</si>
  <si>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</si>
  <si>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99.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</si>
  <si>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</si>
  <si>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</si>
  <si>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15,94 п.м /
0,41868 км</t>
  </si>
  <si>
    <t xml:space="preserve">КГКУ "Управление автомобильных дорог Камчатского края"</t>
  </si>
  <si>
    <t xml:space="preserve">299 769,342 тыс. рублей</t>
  </si>
  <si>
    <t xml:space="preserve">от 01.04.2022 № 41-1-1-3-019435-2022</t>
  </si>
  <si>
    <t xml:space="preserve">100.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</si>
  <si>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</si>
  <si>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п.м./
0,74231 км</t>
  </si>
  <si>
    <t xml:space="preserve">437 721,804 тыс. рублей</t>
  </si>
  <si>
    <t xml:space="preserve">от 01.04.2022 № 41-1-1-3-019455-2022</t>
  </si>
  <si>
    <t xml:space="preserve">101.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</si>
</sst>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0.00000;\-0.00000"/>
    <numFmt numFmtId="172" formatCode="#,##0.00000;\-#,##0.00000"/>
    <numFmt numFmtId="173" formatCode="0.00000"/>
    <numFmt numFmtId="174" formatCode="#,##0.00"/>
    <numFmt numFmtId="175" formatCode="dd/mm/yyyy"/>
    <numFmt numFmtId="176" formatCode="0.0"/>
    <numFmt numFmtId="177" formatCode="0.0000"/>
  </numFmts>
  <fonts count="2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  <font>
      <sz val="10"/>
      <color theme="1"/>
      <name val="Times New Roman"/>
      <family val="1"/>
      <charset val="204"/>
    </font>
    <font>
      <sz val="10"/>
      <name val="Open Sans"/>
      <family val="2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H123"/>
  <sheetViews>
    <sheetView showFormulas="false" showGridLines="true" showRowColHeaders="true" showZeros="true" rightToLeft="false" tabSelected="true" showOutlineSymbols="true" defaultGridColor="true" view="pageBreakPreview" topLeftCell="A1" colorId="64" zoomScale="30" zoomScaleNormal="23" zoomScalePageLayoutView="30" workbookViewId="0">
      <selection pane="topLeft" activeCell="H2" activeCellId="0" sqref="H2"/>
    </sheetView>
  </sheetViews>
  <sheetFormatPr defaultColWidth="8.71484375" defaultRowHeight="14.3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3.71"/>
    <col collapsed="false" customWidth="true" hidden="false" outlineLevel="0" max="3" min="3" style="1" width="19.42"/>
    <col collapsed="false" customWidth="true" hidden="false" outlineLevel="0" max="4" min="4" style="1" width="25.14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0" min="51" style="1" width="8.71"/>
    <col collapsed="false" customWidth="true" hidden="false" outlineLevel="0" max="16382" min="16371" style="1" width="11.57"/>
    <col collapsed="false" customWidth="true" hidden="false" outlineLevel="0" max="16384" min="16383" style="1" width="11.53"/>
  </cols>
  <sheetData>
    <row r="1" s="2" customFormat="true" ht="75.75" hidden="false" customHeight="true" outlineLevel="0" collapsed="false">
      <c r="AU1" s="3" t="s">
        <v>0</v>
      </c>
      <c r="AV1" s="3"/>
      <c r="AW1" s="3"/>
      <c r="AX1" s="3"/>
    </row>
    <row r="2" s="7" customFormat="true" ht="65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6"/>
      <c r="AS2" s="6"/>
      <c r="AT2" s="6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</row>
    <row r="4" customFormat="false" ht="28.5" hidden="false" customHeight="true" outlineLevel="0" collapsed="false">
      <c r="A4" s="11"/>
      <c r="B4" s="12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3"/>
      <c r="AF4" s="13"/>
      <c r="AG4" s="14"/>
      <c r="AH4" s="14"/>
      <c r="AI4" s="14"/>
      <c r="AJ4" s="14"/>
      <c r="AK4" s="14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</row>
    <row r="5" customFormat="false" ht="43.5" hidden="false" customHeight="true" outlineLevel="0" collapsed="false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/>
      <c r="G5" s="16" t="s">
        <v>8</v>
      </c>
      <c r="H5" s="15" t="s">
        <v>9</v>
      </c>
      <c r="I5" s="15" t="s">
        <v>10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 t="s">
        <v>11</v>
      </c>
      <c r="AM5" s="15" t="s">
        <v>12</v>
      </c>
      <c r="AN5" s="15" t="s">
        <v>13</v>
      </c>
      <c r="AO5" s="15" t="s">
        <v>14</v>
      </c>
      <c r="AP5" s="15" t="s">
        <v>15</v>
      </c>
      <c r="AQ5" s="15" t="s">
        <v>16</v>
      </c>
      <c r="AR5" s="15" t="s">
        <v>17</v>
      </c>
      <c r="AS5" s="15" t="s">
        <v>18</v>
      </c>
      <c r="AT5" s="15" t="s">
        <v>19</v>
      </c>
      <c r="AU5" s="15" t="s">
        <v>20</v>
      </c>
      <c r="AV5" s="15" t="s">
        <v>21</v>
      </c>
      <c r="AW5" s="15" t="s">
        <v>22</v>
      </c>
      <c r="AX5" s="15" t="s">
        <v>23</v>
      </c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</row>
    <row r="6" customFormat="false" ht="31.5" hidden="false" customHeight="true" outlineLevel="0" collapsed="false">
      <c r="A6" s="15"/>
      <c r="B6" s="15"/>
      <c r="C6" s="15"/>
      <c r="D6" s="15"/>
      <c r="E6" s="15"/>
      <c r="F6" s="15"/>
      <c r="G6" s="16"/>
      <c r="H6" s="16"/>
      <c r="I6" s="15" t="s">
        <v>24</v>
      </c>
      <c r="J6" s="15" t="s">
        <v>25</v>
      </c>
      <c r="K6" s="15"/>
      <c r="L6" s="15"/>
      <c r="M6" s="15"/>
      <c r="N6" s="15"/>
      <c r="O6" s="15"/>
      <c r="P6" s="15" t="s">
        <v>26</v>
      </c>
      <c r="Q6" s="15"/>
      <c r="R6" s="15"/>
      <c r="S6" s="15"/>
      <c r="T6" s="15"/>
      <c r="U6" s="15"/>
      <c r="V6" s="15" t="s">
        <v>27</v>
      </c>
      <c r="W6" s="15"/>
      <c r="X6" s="15"/>
      <c r="Y6" s="15"/>
      <c r="Z6" s="15"/>
      <c r="AA6" s="15"/>
      <c r="AB6" s="15" t="s">
        <v>28</v>
      </c>
      <c r="AC6" s="15"/>
      <c r="AD6" s="15"/>
      <c r="AE6" s="15"/>
      <c r="AF6" s="15"/>
      <c r="AG6" s="15" t="s">
        <v>29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</row>
    <row r="7" customFormat="false" ht="32.25" hidden="false" customHeight="true" outlineLevel="0" collapsed="false">
      <c r="A7" s="15"/>
      <c r="B7" s="15"/>
      <c r="C7" s="15"/>
      <c r="D7" s="15"/>
      <c r="E7" s="15" t="s">
        <v>30</v>
      </c>
      <c r="F7" s="15" t="s">
        <v>31</v>
      </c>
      <c r="G7" s="16"/>
      <c r="H7" s="16"/>
      <c r="I7" s="16"/>
      <c r="J7" s="17" t="s">
        <v>32</v>
      </c>
      <c r="K7" s="15" t="s">
        <v>33</v>
      </c>
      <c r="L7" s="15" t="s">
        <v>34</v>
      </c>
      <c r="M7" s="15" t="s">
        <v>35</v>
      </c>
      <c r="N7" s="15" t="s">
        <v>36</v>
      </c>
      <c r="O7" s="15" t="s">
        <v>37</v>
      </c>
      <c r="P7" s="17" t="s">
        <v>32</v>
      </c>
      <c r="Q7" s="15" t="s">
        <v>33</v>
      </c>
      <c r="R7" s="15" t="s">
        <v>34</v>
      </c>
      <c r="S7" s="15" t="s">
        <v>35</v>
      </c>
      <c r="T7" s="15" t="s">
        <v>36</v>
      </c>
      <c r="U7" s="15" t="s">
        <v>37</v>
      </c>
      <c r="V7" s="17" t="s">
        <v>32</v>
      </c>
      <c r="W7" s="15" t="s">
        <v>33</v>
      </c>
      <c r="X7" s="15" t="s">
        <v>34</v>
      </c>
      <c r="Y7" s="15" t="s">
        <v>35</v>
      </c>
      <c r="Z7" s="15" t="s">
        <v>36</v>
      </c>
      <c r="AA7" s="15" t="s">
        <v>37</v>
      </c>
      <c r="AB7" s="17" t="s">
        <v>32</v>
      </c>
      <c r="AC7" s="15" t="s">
        <v>33</v>
      </c>
      <c r="AD7" s="15" t="s">
        <v>34</v>
      </c>
      <c r="AE7" s="15" t="s">
        <v>35</v>
      </c>
      <c r="AF7" s="15" t="s">
        <v>36</v>
      </c>
      <c r="AG7" s="17" t="s">
        <v>32</v>
      </c>
      <c r="AH7" s="15" t="s">
        <v>33</v>
      </c>
      <c r="AI7" s="15" t="s">
        <v>34</v>
      </c>
      <c r="AJ7" s="15" t="s">
        <v>35</v>
      </c>
      <c r="AK7" s="15" t="s">
        <v>36</v>
      </c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</row>
    <row r="8" customFormat="false" ht="15.75" hidden="false" customHeight="false" outlineLevel="0" collapsed="false">
      <c r="A8" s="18" t="s">
        <v>38</v>
      </c>
      <c r="B8" s="17" t="n">
        <v>2</v>
      </c>
      <c r="C8" s="17" t="n">
        <v>3</v>
      </c>
      <c r="D8" s="17" t="n">
        <v>4</v>
      </c>
      <c r="E8" s="17" t="n">
        <v>5</v>
      </c>
      <c r="F8" s="17" t="n">
        <v>6</v>
      </c>
      <c r="G8" s="17" t="n">
        <v>7</v>
      </c>
      <c r="H8" s="17" t="n">
        <v>8</v>
      </c>
      <c r="I8" s="17" t="n">
        <v>9</v>
      </c>
      <c r="J8" s="17" t="n">
        <v>10</v>
      </c>
      <c r="K8" s="17" t="n">
        <v>11</v>
      </c>
      <c r="L8" s="17" t="n">
        <v>12</v>
      </c>
      <c r="M8" s="17" t="n">
        <v>13</v>
      </c>
      <c r="N8" s="17" t="n">
        <v>14</v>
      </c>
      <c r="O8" s="17" t="n">
        <v>15</v>
      </c>
      <c r="P8" s="17" t="n">
        <v>16</v>
      </c>
      <c r="Q8" s="17" t="n">
        <v>17</v>
      </c>
      <c r="R8" s="17" t="n">
        <v>18</v>
      </c>
      <c r="S8" s="17" t="n">
        <v>19</v>
      </c>
      <c r="T8" s="17" t="n">
        <v>20</v>
      </c>
      <c r="U8" s="17" t="n">
        <v>21</v>
      </c>
      <c r="V8" s="17" t="n">
        <v>22</v>
      </c>
      <c r="W8" s="17" t="n">
        <v>23</v>
      </c>
      <c r="X8" s="17" t="n">
        <v>24</v>
      </c>
      <c r="Y8" s="17" t="n">
        <v>25</v>
      </c>
      <c r="Z8" s="17" t="n">
        <v>26</v>
      </c>
      <c r="AA8" s="17" t="n">
        <v>27</v>
      </c>
      <c r="AB8" s="17" t="n">
        <v>28</v>
      </c>
      <c r="AC8" s="17" t="n">
        <v>29</v>
      </c>
      <c r="AD8" s="17" t="n">
        <v>30</v>
      </c>
      <c r="AE8" s="17" t="n">
        <v>31</v>
      </c>
      <c r="AF8" s="17" t="n">
        <v>32</v>
      </c>
      <c r="AG8" s="17" t="n">
        <v>33</v>
      </c>
      <c r="AH8" s="17" t="n">
        <v>34</v>
      </c>
      <c r="AI8" s="17" t="n">
        <v>35</v>
      </c>
      <c r="AJ8" s="17" t="n">
        <v>36</v>
      </c>
      <c r="AK8" s="17" t="n">
        <v>37</v>
      </c>
      <c r="AL8" s="17" t="n">
        <v>38</v>
      </c>
      <c r="AM8" s="17" t="n">
        <v>39</v>
      </c>
      <c r="AN8" s="17" t="n">
        <v>40</v>
      </c>
      <c r="AO8" s="17" t="n">
        <v>41</v>
      </c>
      <c r="AP8" s="17" t="n">
        <v>42</v>
      </c>
      <c r="AQ8" s="17" t="n">
        <v>43</v>
      </c>
      <c r="AR8" s="17" t="n">
        <v>44</v>
      </c>
      <c r="AS8" s="17" t="n">
        <v>45</v>
      </c>
      <c r="AT8" s="17" t="n">
        <v>46</v>
      </c>
      <c r="AU8" s="17" t="n">
        <v>47</v>
      </c>
      <c r="AV8" s="17" t="n">
        <v>48</v>
      </c>
      <c r="AW8" s="17" t="n">
        <v>49</v>
      </c>
      <c r="AX8" s="17" t="n">
        <v>50</v>
      </c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</row>
    <row r="9" customFormat="false" ht="99.75" hidden="false" customHeight="true" outlineLevel="0" collapsed="false">
      <c r="A9" s="18" t="s">
        <v>39</v>
      </c>
      <c r="B9" s="19" t="s">
        <v>40</v>
      </c>
      <c r="C9" s="19" t="s">
        <v>41</v>
      </c>
      <c r="D9" s="19" t="s">
        <v>42</v>
      </c>
      <c r="E9" s="20" t="s">
        <v>43</v>
      </c>
      <c r="F9" s="19" t="s">
        <v>44</v>
      </c>
      <c r="G9" s="19" t="s">
        <v>45</v>
      </c>
      <c r="H9" s="19" t="s">
        <v>46</v>
      </c>
      <c r="I9" s="21" t="n">
        <f aca="false">P9+V9+AB9+AG9+J9</f>
        <v>287950.54</v>
      </c>
      <c r="J9" s="21" t="n">
        <f aca="false">SUM(K9:O9)</f>
        <v>287950.54</v>
      </c>
      <c r="K9" s="22"/>
      <c r="L9" s="22" t="n">
        <f aca="false">290450.54-2500</f>
        <v>287950.54</v>
      </c>
      <c r="M9" s="22"/>
      <c r="N9" s="22"/>
      <c r="O9" s="22"/>
      <c r="P9" s="22" t="n">
        <f aca="false">SUM(Q9:U9)</f>
        <v>0</v>
      </c>
      <c r="Q9" s="22"/>
      <c r="R9" s="22"/>
      <c r="S9" s="22"/>
      <c r="T9" s="22"/>
      <c r="U9" s="22"/>
      <c r="V9" s="22" t="n">
        <f aca="false">SUM(W9:AA9)</f>
        <v>0</v>
      </c>
      <c r="W9" s="22"/>
      <c r="X9" s="22"/>
      <c r="Y9" s="22"/>
      <c r="Z9" s="22"/>
      <c r="AA9" s="22"/>
      <c r="AB9" s="22" t="n">
        <f aca="false">SUM(AC9:AF9)</f>
        <v>0</v>
      </c>
      <c r="AC9" s="22"/>
      <c r="AD9" s="22"/>
      <c r="AE9" s="22"/>
      <c r="AF9" s="22"/>
      <c r="AG9" s="21" t="n">
        <f aca="false">SUM(AH9:AK9)</f>
        <v>0</v>
      </c>
      <c r="AH9" s="22"/>
      <c r="AI9" s="22"/>
      <c r="AJ9" s="22"/>
      <c r="AK9" s="22"/>
      <c r="AL9" s="19" t="s">
        <v>47</v>
      </c>
      <c r="AM9" s="19" t="s">
        <v>25</v>
      </c>
      <c r="AN9" s="19"/>
      <c r="AO9" s="19" t="s">
        <v>48</v>
      </c>
      <c r="AP9" s="19" t="s">
        <v>49</v>
      </c>
      <c r="AQ9" s="19" t="s">
        <v>50</v>
      </c>
      <c r="AR9" s="19" t="s">
        <v>51</v>
      </c>
      <c r="AS9" s="19" t="s">
        <v>50</v>
      </c>
      <c r="AT9" s="19" t="s">
        <v>50</v>
      </c>
      <c r="AU9" s="19" t="s">
        <v>52</v>
      </c>
      <c r="AV9" s="19" t="s">
        <v>53</v>
      </c>
      <c r="AW9" s="19" t="s">
        <v>54</v>
      </c>
      <c r="AX9" s="19" t="s">
        <v>55</v>
      </c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</row>
    <row r="10" customFormat="false" ht="116.25" hidden="false" customHeight="true" outlineLevel="0" collapsed="false">
      <c r="A10" s="18" t="s">
        <v>56</v>
      </c>
      <c r="B10" s="19" t="s">
        <v>40</v>
      </c>
      <c r="C10" s="19" t="s">
        <v>41</v>
      </c>
      <c r="D10" s="19" t="s">
        <v>42</v>
      </c>
      <c r="E10" s="20" t="s">
        <v>43</v>
      </c>
      <c r="F10" s="19" t="s">
        <v>44</v>
      </c>
      <c r="G10" s="19" t="s">
        <v>57</v>
      </c>
      <c r="H10" s="19" t="s">
        <v>58</v>
      </c>
      <c r="I10" s="21" t="n">
        <f aca="false">J10+P10+V10+AB10+AG10</f>
        <v>23345.74493</v>
      </c>
      <c r="J10" s="21" t="n">
        <f aca="false">SUM(K10:O10)</f>
        <v>23345.74493</v>
      </c>
      <c r="K10" s="22" t="n">
        <v>20006.39511</v>
      </c>
      <c r="L10" s="22" t="n">
        <f aca="false">103722.12611-40700-6600-12422.99491-40659.78138</f>
        <v>3339.34982</v>
      </c>
      <c r="M10" s="22"/>
      <c r="N10" s="22"/>
      <c r="O10" s="22"/>
      <c r="P10" s="22" t="n">
        <f aca="false">SUM(Q10:U10)</f>
        <v>0</v>
      </c>
      <c r="Q10" s="22"/>
      <c r="R10" s="22"/>
      <c r="S10" s="22"/>
      <c r="T10" s="22"/>
      <c r="U10" s="22"/>
      <c r="V10" s="22" t="n">
        <f aca="false">SUM(W10:AA10)</f>
        <v>0</v>
      </c>
      <c r="W10" s="22"/>
      <c r="X10" s="22"/>
      <c r="Y10" s="22"/>
      <c r="Z10" s="22"/>
      <c r="AA10" s="22"/>
      <c r="AB10" s="22" t="n">
        <f aca="false">SUM(AC10:AF10)</f>
        <v>0</v>
      </c>
      <c r="AC10" s="22"/>
      <c r="AD10" s="22"/>
      <c r="AE10" s="22"/>
      <c r="AF10" s="22"/>
      <c r="AG10" s="21" t="n">
        <f aca="false">SUM(AH10:AK10)</f>
        <v>0</v>
      </c>
      <c r="AH10" s="22"/>
      <c r="AI10" s="22"/>
      <c r="AJ10" s="22"/>
      <c r="AK10" s="22"/>
      <c r="AL10" s="19" t="s">
        <v>47</v>
      </c>
      <c r="AM10" s="19" t="s">
        <v>25</v>
      </c>
      <c r="AN10" s="19"/>
      <c r="AO10" s="19" t="s">
        <v>48</v>
      </c>
      <c r="AP10" s="19" t="s">
        <v>59</v>
      </c>
      <c r="AQ10" s="19" t="s">
        <v>60</v>
      </c>
      <c r="AR10" s="19" t="s">
        <v>51</v>
      </c>
      <c r="AS10" s="19" t="s">
        <v>60</v>
      </c>
      <c r="AT10" s="19" t="s">
        <v>60</v>
      </c>
      <c r="AU10" s="19"/>
      <c r="AV10" s="19" t="s">
        <v>53</v>
      </c>
      <c r="AW10" s="19" t="s">
        <v>54</v>
      </c>
      <c r="AX10" s="19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</row>
    <row r="11" customFormat="false" ht="97.5" hidden="false" customHeight="true" outlineLevel="0" collapsed="false">
      <c r="A11" s="18" t="s">
        <v>61</v>
      </c>
      <c r="B11" s="19" t="s">
        <v>40</v>
      </c>
      <c r="C11" s="19" t="s">
        <v>41</v>
      </c>
      <c r="D11" s="19" t="s">
        <v>42</v>
      </c>
      <c r="E11" s="20" t="s">
        <v>43</v>
      </c>
      <c r="F11" s="19" t="s">
        <v>44</v>
      </c>
      <c r="G11" s="19" t="s">
        <v>62</v>
      </c>
      <c r="H11" s="19" t="s">
        <v>46</v>
      </c>
      <c r="I11" s="21" t="n">
        <f aca="false">J11+P11+V11+AB11+AG11</f>
        <v>28183.86472</v>
      </c>
      <c r="J11" s="21" t="n">
        <f aca="false">SUM(K11:O11)</f>
        <v>28183.86472</v>
      </c>
      <c r="K11" s="22" t="n">
        <v>23251.75459</v>
      </c>
      <c r="L11" s="22" t="n">
        <f aca="false">120831.282-20228.3358-91211.63775-4459.19832</f>
        <v>4932.11013000001</v>
      </c>
      <c r="M11" s="22"/>
      <c r="N11" s="22"/>
      <c r="O11" s="22"/>
      <c r="P11" s="22" t="n">
        <f aca="false">SUM(Q11:U11)</f>
        <v>0</v>
      </c>
      <c r="Q11" s="22"/>
      <c r="R11" s="22"/>
      <c r="S11" s="22"/>
      <c r="T11" s="22"/>
      <c r="U11" s="22"/>
      <c r="V11" s="22" t="n">
        <f aca="false">SUM(W11:AA11)</f>
        <v>0</v>
      </c>
      <c r="W11" s="22"/>
      <c r="X11" s="22"/>
      <c r="Y11" s="22"/>
      <c r="Z11" s="22"/>
      <c r="AA11" s="22"/>
      <c r="AB11" s="22" t="n">
        <f aca="false">SUM(AC11:AF11)</f>
        <v>0</v>
      </c>
      <c r="AC11" s="22"/>
      <c r="AD11" s="22"/>
      <c r="AE11" s="22"/>
      <c r="AF11" s="22"/>
      <c r="AG11" s="21" t="n">
        <f aca="false">SUM(AH11:AK11)</f>
        <v>0</v>
      </c>
      <c r="AH11" s="22"/>
      <c r="AI11" s="22"/>
      <c r="AJ11" s="22"/>
      <c r="AK11" s="22"/>
      <c r="AL11" s="19" t="s">
        <v>47</v>
      </c>
      <c r="AM11" s="19" t="s">
        <v>25</v>
      </c>
      <c r="AN11" s="19"/>
      <c r="AO11" s="19" t="s">
        <v>48</v>
      </c>
      <c r="AP11" s="19" t="s">
        <v>59</v>
      </c>
      <c r="AQ11" s="19" t="s">
        <v>60</v>
      </c>
      <c r="AR11" s="19" t="s">
        <v>51</v>
      </c>
      <c r="AS11" s="19" t="s">
        <v>60</v>
      </c>
      <c r="AT11" s="19" t="s">
        <v>60</v>
      </c>
      <c r="AU11" s="19"/>
      <c r="AV11" s="19" t="s">
        <v>53</v>
      </c>
      <c r="AW11" s="19" t="s">
        <v>63</v>
      </c>
      <c r="AX11" s="19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</row>
    <row r="12" customFormat="false" ht="76.5" hidden="false" customHeight="false" outlineLevel="0" collapsed="false">
      <c r="A12" s="18" t="s">
        <v>64</v>
      </c>
      <c r="B12" s="19" t="s">
        <v>40</v>
      </c>
      <c r="C12" s="19" t="s">
        <v>41</v>
      </c>
      <c r="D12" s="23" t="s">
        <v>65</v>
      </c>
      <c r="E12" s="20" t="s">
        <v>43</v>
      </c>
      <c r="F12" s="19" t="s">
        <v>44</v>
      </c>
      <c r="G12" s="19" t="s">
        <v>66</v>
      </c>
      <c r="H12" s="19" t="s">
        <v>67</v>
      </c>
      <c r="I12" s="21" t="n">
        <f aca="false">J12+P12+V12+AB12+AG12</f>
        <v>392360.97</v>
      </c>
      <c r="J12" s="21" t="n">
        <f aca="false">SUM(K12:O12)</f>
        <v>392360.97</v>
      </c>
      <c r="K12" s="22"/>
      <c r="L12" s="22" t="n">
        <f aca="false">384160.97+8200</f>
        <v>392360.97</v>
      </c>
      <c r="M12" s="22"/>
      <c r="N12" s="22"/>
      <c r="O12" s="22"/>
      <c r="P12" s="22" t="n">
        <f aca="false">SUM(Q12:U12)</f>
        <v>0</v>
      </c>
      <c r="Q12" s="22"/>
      <c r="R12" s="22"/>
      <c r="S12" s="22"/>
      <c r="T12" s="22"/>
      <c r="U12" s="22"/>
      <c r="V12" s="22" t="n">
        <f aca="false">SUM(W12:AA12)</f>
        <v>0</v>
      </c>
      <c r="W12" s="22"/>
      <c r="X12" s="22"/>
      <c r="Y12" s="22"/>
      <c r="Z12" s="22"/>
      <c r="AA12" s="22"/>
      <c r="AB12" s="22" t="n">
        <f aca="false">SUM(AC12:AF12)</f>
        <v>0</v>
      </c>
      <c r="AC12" s="22"/>
      <c r="AD12" s="22"/>
      <c r="AE12" s="22"/>
      <c r="AF12" s="22"/>
      <c r="AG12" s="21" t="n">
        <f aca="false">SUM(AH12:AK12)</f>
        <v>0</v>
      </c>
      <c r="AH12" s="22"/>
      <c r="AI12" s="22"/>
      <c r="AJ12" s="22"/>
      <c r="AK12" s="22"/>
      <c r="AL12" s="19" t="s">
        <v>68</v>
      </c>
      <c r="AM12" s="19" t="s">
        <v>25</v>
      </c>
      <c r="AN12" s="19"/>
      <c r="AO12" s="19" t="s">
        <v>48</v>
      </c>
      <c r="AP12" s="19" t="s">
        <v>69</v>
      </c>
      <c r="AQ12" s="19" t="s">
        <v>60</v>
      </c>
      <c r="AR12" s="19" t="s">
        <v>51</v>
      </c>
      <c r="AS12" s="19" t="s">
        <v>60</v>
      </c>
      <c r="AT12" s="19" t="s">
        <v>60</v>
      </c>
      <c r="AU12" s="24" t="s">
        <v>70</v>
      </c>
      <c r="AV12" s="19" t="s">
        <v>53</v>
      </c>
      <c r="AW12" s="19" t="s">
        <v>54</v>
      </c>
      <c r="AX12" s="25" t="s">
        <v>71</v>
      </c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</row>
    <row r="13" customFormat="false" ht="81.75" hidden="false" customHeight="true" outlineLevel="0" collapsed="false">
      <c r="A13" s="18" t="s">
        <v>72</v>
      </c>
      <c r="B13" s="19" t="s">
        <v>40</v>
      </c>
      <c r="C13" s="19" t="s">
        <v>41</v>
      </c>
      <c r="D13" s="16" t="s">
        <v>65</v>
      </c>
      <c r="E13" s="20" t="s">
        <v>43</v>
      </c>
      <c r="F13" s="19" t="s">
        <v>44</v>
      </c>
      <c r="G13" s="19" t="s">
        <v>73</v>
      </c>
      <c r="H13" s="19" t="s">
        <v>67</v>
      </c>
      <c r="I13" s="21" t="n">
        <f aca="false">J13+P13+V13+AB13+AG13</f>
        <v>1820700</v>
      </c>
      <c r="J13" s="21" t="n">
        <f aca="false">SUM(K13:O13)</f>
        <v>0</v>
      </c>
      <c r="K13" s="22"/>
      <c r="L13" s="22"/>
      <c r="M13" s="22"/>
      <c r="N13" s="22"/>
      <c r="O13" s="22"/>
      <c r="P13" s="22" t="n">
        <f aca="false">SUM(Q13:U13)</f>
        <v>0</v>
      </c>
      <c r="Q13" s="22"/>
      <c r="R13" s="22"/>
      <c r="S13" s="22"/>
      <c r="T13" s="22"/>
      <c r="U13" s="22"/>
      <c r="V13" s="22" t="n">
        <f aca="false">SUM(W13:AA13)</f>
        <v>1820700</v>
      </c>
      <c r="W13" s="22" t="n">
        <v>1820700</v>
      </c>
      <c r="X13" s="22"/>
      <c r="Y13" s="22"/>
      <c r="Z13" s="22"/>
      <c r="AA13" s="22"/>
      <c r="AB13" s="22" t="n">
        <f aca="false">SUM(AC13:AF13)</f>
        <v>0</v>
      </c>
      <c r="AC13" s="22"/>
      <c r="AD13" s="22"/>
      <c r="AE13" s="22"/>
      <c r="AF13" s="22"/>
      <c r="AG13" s="21" t="n">
        <f aca="false">SUM(AH13:AK13)</f>
        <v>0</v>
      </c>
      <c r="AH13" s="22"/>
      <c r="AI13" s="22"/>
      <c r="AJ13" s="22"/>
      <c r="AK13" s="22"/>
      <c r="AL13" s="16" t="s">
        <v>68</v>
      </c>
      <c r="AM13" s="16" t="s">
        <v>29</v>
      </c>
      <c r="AN13" s="16" t="s">
        <v>74</v>
      </c>
      <c r="AO13" s="16" t="s">
        <v>48</v>
      </c>
      <c r="AP13" s="16" t="s">
        <v>75</v>
      </c>
      <c r="AQ13" s="16" t="s">
        <v>60</v>
      </c>
      <c r="AR13" s="16" t="s">
        <v>51</v>
      </c>
      <c r="AS13" s="19" t="s">
        <v>60</v>
      </c>
      <c r="AT13" s="19" t="s">
        <v>60</v>
      </c>
      <c r="AU13" s="16" t="s">
        <v>76</v>
      </c>
      <c r="AV13" s="16" t="s">
        <v>53</v>
      </c>
      <c r="AW13" s="19" t="s">
        <v>77</v>
      </c>
      <c r="AX13" s="26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</row>
    <row r="14" customFormat="false" ht="109.5" hidden="false" customHeight="true" outlineLevel="0" collapsed="false">
      <c r="A14" s="18" t="s">
        <v>78</v>
      </c>
      <c r="B14" s="19" t="s">
        <v>40</v>
      </c>
      <c r="C14" s="19" t="s">
        <v>41</v>
      </c>
      <c r="D14" s="19" t="s">
        <v>42</v>
      </c>
      <c r="E14" s="20" t="s">
        <v>43</v>
      </c>
      <c r="F14" s="19" t="s">
        <v>44</v>
      </c>
      <c r="G14" s="19" t="s">
        <v>79</v>
      </c>
      <c r="H14" s="19" t="s">
        <v>80</v>
      </c>
      <c r="I14" s="21" t="n">
        <f aca="false">J14+P14+V14+AB14+AG14</f>
        <v>122105.428</v>
      </c>
      <c r="J14" s="21" t="n">
        <f aca="false">SUM(K14:O14)</f>
        <v>122105.428</v>
      </c>
      <c r="K14" s="22"/>
      <c r="L14" s="22" t="n">
        <f aca="false">100105.428+22000</f>
        <v>122105.428</v>
      </c>
      <c r="M14" s="22"/>
      <c r="N14" s="22"/>
      <c r="O14" s="22"/>
      <c r="P14" s="22" t="n">
        <f aca="false">SUM(Q14:U14)</f>
        <v>0</v>
      </c>
      <c r="Q14" s="22"/>
      <c r="R14" s="22"/>
      <c r="S14" s="22"/>
      <c r="T14" s="22"/>
      <c r="U14" s="22"/>
      <c r="V14" s="22" t="n">
        <f aca="false">SUM(W14:AA14)</f>
        <v>0</v>
      </c>
      <c r="W14" s="22"/>
      <c r="X14" s="22"/>
      <c r="Y14" s="22"/>
      <c r="Z14" s="22"/>
      <c r="AA14" s="22"/>
      <c r="AB14" s="22" t="n">
        <f aca="false">SUM(AC14:AF14)</f>
        <v>0</v>
      </c>
      <c r="AC14" s="22"/>
      <c r="AD14" s="22"/>
      <c r="AE14" s="22"/>
      <c r="AF14" s="22"/>
      <c r="AG14" s="21" t="n">
        <f aca="false">SUM(AH14:AK14)</f>
        <v>0</v>
      </c>
      <c r="AH14" s="22"/>
      <c r="AI14" s="22"/>
      <c r="AJ14" s="22"/>
      <c r="AK14" s="22"/>
      <c r="AL14" s="19" t="s">
        <v>47</v>
      </c>
      <c r="AM14" s="19" t="s">
        <v>25</v>
      </c>
      <c r="AN14" s="19"/>
      <c r="AO14" s="19" t="s">
        <v>48</v>
      </c>
      <c r="AP14" s="19" t="s">
        <v>81</v>
      </c>
      <c r="AQ14" s="19" t="s">
        <v>60</v>
      </c>
      <c r="AR14" s="19" t="s">
        <v>51</v>
      </c>
      <c r="AS14" s="19" t="s">
        <v>60</v>
      </c>
      <c r="AT14" s="19" t="s">
        <v>60</v>
      </c>
      <c r="AU14" s="19"/>
      <c r="AV14" s="19" t="s">
        <v>53</v>
      </c>
      <c r="AW14" s="19" t="s">
        <v>54</v>
      </c>
      <c r="AX14" s="19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</row>
    <row r="15" customFormat="false" ht="105" hidden="false" customHeight="true" outlineLevel="0" collapsed="false">
      <c r="A15" s="18" t="s">
        <v>82</v>
      </c>
      <c r="B15" s="19" t="s">
        <v>40</v>
      </c>
      <c r="C15" s="19" t="s">
        <v>41</v>
      </c>
      <c r="D15" s="23" t="s">
        <v>65</v>
      </c>
      <c r="E15" s="20" t="s">
        <v>43</v>
      </c>
      <c r="F15" s="19" t="s">
        <v>44</v>
      </c>
      <c r="G15" s="19" t="s">
        <v>83</v>
      </c>
      <c r="H15" s="19" t="s">
        <v>67</v>
      </c>
      <c r="I15" s="21" t="n">
        <f aca="false">J15+P15+V15+AB15+AG15</f>
        <v>44485.07172</v>
      </c>
      <c r="J15" s="21" t="n">
        <f aca="false">SUM(K15:O15)</f>
        <v>32928.34172</v>
      </c>
      <c r="K15" s="22" t="n">
        <f aca="false">0+15517.7</f>
        <v>15517.7</v>
      </c>
      <c r="L15" s="22" t="n">
        <f aca="false">5226.93+10500-5000+6683.71172</f>
        <v>17410.64172</v>
      </c>
      <c r="M15" s="22"/>
      <c r="N15" s="22"/>
      <c r="O15" s="22"/>
      <c r="P15" s="22" t="n">
        <f aca="false">SUM(Q15:U15)</f>
        <v>5749.62</v>
      </c>
      <c r="Q15" s="22"/>
      <c r="R15" s="22" t="n">
        <v>5749.62</v>
      </c>
      <c r="S15" s="22"/>
      <c r="T15" s="22"/>
      <c r="U15" s="22"/>
      <c r="V15" s="22" t="n">
        <f aca="false">SUM(W15:AA15)</f>
        <v>5807.11</v>
      </c>
      <c r="W15" s="22"/>
      <c r="X15" s="22" t="n">
        <v>5807.11</v>
      </c>
      <c r="Y15" s="22"/>
      <c r="Z15" s="22"/>
      <c r="AA15" s="22"/>
      <c r="AB15" s="22" t="n">
        <f aca="false">SUM(AC15:AF15)</f>
        <v>0</v>
      </c>
      <c r="AC15" s="22"/>
      <c r="AD15" s="22"/>
      <c r="AE15" s="22"/>
      <c r="AF15" s="22"/>
      <c r="AG15" s="21" t="n">
        <f aca="false">SUM(AH15:AK15)</f>
        <v>0</v>
      </c>
      <c r="AH15" s="22"/>
      <c r="AI15" s="22"/>
      <c r="AJ15" s="22"/>
      <c r="AK15" s="22"/>
      <c r="AL15" s="23" t="s">
        <v>68</v>
      </c>
      <c r="AM15" s="23" t="s">
        <v>27</v>
      </c>
      <c r="AN15" s="23"/>
      <c r="AO15" s="23" t="s">
        <v>48</v>
      </c>
      <c r="AP15" s="23" t="s">
        <v>84</v>
      </c>
      <c r="AQ15" s="23" t="s">
        <v>60</v>
      </c>
      <c r="AR15" s="23" t="s">
        <v>51</v>
      </c>
      <c r="AS15" s="19" t="s">
        <v>60</v>
      </c>
      <c r="AT15" s="19" t="s">
        <v>60</v>
      </c>
      <c r="AU15" s="23"/>
      <c r="AV15" s="25" t="s">
        <v>53</v>
      </c>
      <c r="AW15" s="23" t="s">
        <v>63</v>
      </c>
      <c r="AX15" s="2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</row>
    <row r="16" customFormat="false" ht="99" hidden="false" customHeight="true" outlineLevel="0" collapsed="false">
      <c r="A16" s="18" t="s">
        <v>85</v>
      </c>
      <c r="B16" s="19" t="s">
        <v>40</v>
      </c>
      <c r="C16" s="16" t="s">
        <v>41</v>
      </c>
      <c r="D16" s="19" t="s">
        <v>42</v>
      </c>
      <c r="E16" s="27" t="s">
        <v>43</v>
      </c>
      <c r="F16" s="19" t="s">
        <v>44</v>
      </c>
      <c r="G16" s="16" t="s">
        <v>86</v>
      </c>
      <c r="H16" s="16" t="s">
        <v>87</v>
      </c>
      <c r="I16" s="21" t="n">
        <f aca="false">J16+P16+V16+AB16+AG16</f>
        <v>164377.80128</v>
      </c>
      <c r="J16" s="21" t="n">
        <f aca="false">SUM(K16:O16)</f>
        <v>164377.80128</v>
      </c>
      <c r="K16" s="22" t="n">
        <v>160674.98464</v>
      </c>
      <c r="L16" s="22" t="n">
        <f aca="false">39000-35297.184+0.00064</f>
        <v>3702.81664</v>
      </c>
      <c r="M16" s="22"/>
      <c r="N16" s="22"/>
      <c r="O16" s="22"/>
      <c r="P16" s="22" t="n">
        <f aca="false">SUM(Q16:U16)</f>
        <v>0</v>
      </c>
      <c r="Q16" s="22"/>
      <c r="R16" s="22"/>
      <c r="S16" s="22"/>
      <c r="T16" s="22"/>
      <c r="U16" s="22"/>
      <c r="V16" s="22" t="n">
        <f aca="false">SUM(W16:AA16)</f>
        <v>0</v>
      </c>
      <c r="W16" s="22"/>
      <c r="X16" s="22"/>
      <c r="Y16" s="22"/>
      <c r="Z16" s="22"/>
      <c r="AA16" s="22"/>
      <c r="AB16" s="22" t="n">
        <f aca="false">SUM(AC16:AF16)</f>
        <v>0</v>
      </c>
      <c r="AC16" s="22"/>
      <c r="AD16" s="22"/>
      <c r="AE16" s="22"/>
      <c r="AF16" s="22"/>
      <c r="AG16" s="21" t="n">
        <f aca="false">SUM(AH16:AK16)</f>
        <v>0</v>
      </c>
      <c r="AH16" s="22"/>
      <c r="AI16" s="22"/>
      <c r="AJ16" s="22"/>
      <c r="AK16" s="22"/>
      <c r="AL16" s="16" t="s">
        <v>47</v>
      </c>
      <c r="AM16" s="16" t="s">
        <v>27</v>
      </c>
      <c r="AN16" s="16" t="s">
        <v>74</v>
      </c>
      <c r="AO16" s="16" t="s">
        <v>48</v>
      </c>
      <c r="AP16" s="16" t="s">
        <v>88</v>
      </c>
      <c r="AQ16" s="16" t="s">
        <v>50</v>
      </c>
      <c r="AR16" s="16" t="s">
        <v>51</v>
      </c>
      <c r="AS16" s="16" t="s">
        <v>50</v>
      </c>
      <c r="AT16" s="16" t="s">
        <v>50</v>
      </c>
      <c r="AU16" s="16"/>
      <c r="AV16" s="16" t="s">
        <v>89</v>
      </c>
      <c r="AW16" s="19" t="s">
        <v>90</v>
      </c>
      <c r="AX16" s="26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</row>
    <row r="17" customFormat="false" ht="99" hidden="false" customHeight="true" outlineLevel="0" collapsed="false">
      <c r="A17" s="18" t="s">
        <v>91</v>
      </c>
      <c r="B17" s="19" t="s">
        <v>40</v>
      </c>
      <c r="C17" s="16" t="s">
        <v>41</v>
      </c>
      <c r="D17" s="19" t="s">
        <v>42</v>
      </c>
      <c r="E17" s="27" t="s">
        <v>43</v>
      </c>
      <c r="F17" s="19" t="s">
        <v>44</v>
      </c>
      <c r="G17" s="16" t="s">
        <v>92</v>
      </c>
      <c r="H17" s="16" t="s">
        <v>93</v>
      </c>
      <c r="I17" s="21" t="n">
        <f aca="false">J17+P17+V17+AB17+AG17</f>
        <v>465526.06761</v>
      </c>
      <c r="J17" s="21" t="n">
        <f aca="false">SUM(K17:O17)</f>
        <v>465526.06761</v>
      </c>
      <c r="K17" s="22" t="n">
        <v>443984.65455</v>
      </c>
      <c r="L17" s="22" t="n">
        <f aca="false">15000+11753.52-5212.10694</f>
        <v>21541.41306</v>
      </c>
      <c r="M17" s="22"/>
      <c r="N17" s="22"/>
      <c r="O17" s="22"/>
      <c r="P17" s="22" t="n">
        <f aca="false">SUM(Q17:U17)</f>
        <v>0</v>
      </c>
      <c r="Q17" s="22"/>
      <c r="R17" s="22"/>
      <c r="S17" s="22"/>
      <c r="T17" s="22"/>
      <c r="U17" s="22"/>
      <c r="V17" s="22" t="n">
        <f aca="false">SUM(W17:AA17)</f>
        <v>0</v>
      </c>
      <c r="W17" s="22"/>
      <c r="X17" s="22"/>
      <c r="Y17" s="22"/>
      <c r="Z17" s="22"/>
      <c r="AA17" s="22"/>
      <c r="AB17" s="22" t="n">
        <f aca="false">SUM(AC17:AF17)</f>
        <v>0</v>
      </c>
      <c r="AC17" s="22"/>
      <c r="AD17" s="22"/>
      <c r="AE17" s="22"/>
      <c r="AF17" s="22"/>
      <c r="AG17" s="21" t="n">
        <f aca="false">SUM(AH17:AK17)</f>
        <v>0</v>
      </c>
      <c r="AH17" s="22"/>
      <c r="AI17" s="22"/>
      <c r="AJ17" s="22"/>
      <c r="AK17" s="22"/>
      <c r="AL17" s="16" t="s">
        <v>47</v>
      </c>
      <c r="AM17" s="16" t="s">
        <v>27</v>
      </c>
      <c r="AN17" s="16"/>
      <c r="AO17" s="16" t="s">
        <v>48</v>
      </c>
      <c r="AP17" s="16" t="s">
        <v>88</v>
      </c>
      <c r="AQ17" s="16" t="s">
        <v>60</v>
      </c>
      <c r="AR17" s="16" t="s">
        <v>51</v>
      </c>
      <c r="AS17" s="16" t="s">
        <v>60</v>
      </c>
      <c r="AT17" s="16" t="s">
        <v>60</v>
      </c>
      <c r="AU17" s="16"/>
      <c r="AV17" s="16" t="s">
        <v>89</v>
      </c>
      <c r="AW17" s="16" t="s">
        <v>94</v>
      </c>
      <c r="AX17" s="26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</row>
    <row r="18" customFormat="false" ht="99" hidden="false" customHeight="true" outlineLevel="0" collapsed="false">
      <c r="A18" s="18" t="s">
        <v>95</v>
      </c>
      <c r="B18" s="19" t="s">
        <v>40</v>
      </c>
      <c r="C18" s="16" t="s">
        <v>41</v>
      </c>
      <c r="D18" s="19" t="s">
        <v>42</v>
      </c>
      <c r="E18" s="27" t="s">
        <v>43</v>
      </c>
      <c r="F18" s="19" t="s">
        <v>44</v>
      </c>
      <c r="G18" s="16" t="s">
        <v>96</v>
      </c>
      <c r="H18" s="16" t="s">
        <v>97</v>
      </c>
      <c r="I18" s="21" t="n">
        <f aca="false">J18+P18+V18+AB18+AG18</f>
        <v>2339350.4329</v>
      </c>
      <c r="J18" s="21" t="n">
        <f aca="false">SUM(K18:O18)</f>
        <v>463751.33306</v>
      </c>
      <c r="K18" s="22" t="n">
        <v>433776.51726</v>
      </c>
      <c r="L18" s="22" t="n">
        <f aca="false">14900+6600+8474.8158</f>
        <v>29974.8158</v>
      </c>
      <c r="M18" s="22"/>
      <c r="N18" s="22"/>
      <c r="O18" s="22"/>
      <c r="P18" s="22" t="n">
        <f aca="false">SUM(Q18:U18)</f>
        <v>1162544.06624</v>
      </c>
      <c r="Q18" s="22"/>
      <c r="R18" s="22" t="n">
        <f aca="false">0+1162544.06624</f>
        <v>1162544.06624</v>
      </c>
      <c r="S18" s="22"/>
      <c r="T18" s="22"/>
      <c r="U18" s="22"/>
      <c r="V18" s="22" t="n">
        <f aca="false">SUM(W18:AA18)</f>
        <v>713055.0336</v>
      </c>
      <c r="W18" s="22"/>
      <c r="X18" s="22" t="n">
        <f aca="false">0+713055.0336</f>
        <v>713055.0336</v>
      </c>
      <c r="Y18" s="22"/>
      <c r="Z18" s="22"/>
      <c r="AA18" s="22"/>
      <c r="AB18" s="22" t="n">
        <f aca="false">SUM(AC18:AF18)</f>
        <v>0</v>
      </c>
      <c r="AC18" s="22"/>
      <c r="AD18" s="22"/>
      <c r="AE18" s="22"/>
      <c r="AF18" s="22"/>
      <c r="AG18" s="21" t="n">
        <f aca="false">SUM(AH18:AK18)</f>
        <v>0</v>
      </c>
      <c r="AH18" s="22"/>
      <c r="AI18" s="22"/>
      <c r="AJ18" s="22"/>
      <c r="AK18" s="22"/>
      <c r="AL18" s="16" t="s">
        <v>47</v>
      </c>
      <c r="AM18" s="16" t="s">
        <v>27</v>
      </c>
      <c r="AN18" s="16" t="s">
        <v>25</v>
      </c>
      <c r="AO18" s="16" t="s">
        <v>48</v>
      </c>
      <c r="AP18" s="16" t="s">
        <v>88</v>
      </c>
      <c r="AQ18" s="16" t="s">
        <v>60</v>
      </c>
      <c r="AR18" s="16" t="s">
        <v>51</v>
      </c>
      <c r="AS18" s="16" t="s">
        <v>60</v>
      </c>
      <c r="AT18" s="16" t="s">
        <v>60</v>
      </c>
      <c r="AU18" s="16"/>
      <c r="AV18" s="16" t="s">
        <v>89</v>
      </c>
      <c r="AW18" s="16" t="s">
        <v>98</v>
      </c>
      <c r="AX18" s="16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</row>
    <row r="19" customFormat="false" ht="114" hidden="false" customHeight="true" outlineLevel="0" collapsed="false">
      <c r="A19" s="18" t="s">
        <v>99</v>
      </c>
      <c r="B19" s="19" t="s">
        <v>100</v>
      </c>
      <c r="C19" s="19" t="s">
        <v>41</v>
      </c>
      <c r="D19" s="23" t="s">
        <v>101</v>
      </c>
      <c r="E19" s="20" t="s">
        <v>102</v>
      </c>
      <c r="F19" s="19" t="s">
        <v>103</v>
      </c>
      <c r="G19" s="19" t="s">
        <v>104</v>
      </c>
      <c r="H19" s="19" t="s">
        <v>67</v>
      </c>
      <c r="I19" s="21" t="n">
        <f aca="false">J19+P19+V19+AB19+AG19</f>
        <v>308538.35</v>
      </c>
      <c r="J19" s="21" t="n">
        <f aca="false">SUM(K19:O19)</f>
        <v>308538.35</v>
      </c>
      <c r="K19" s="22" t="n">
        <v>150000</v>
      </c>
      <c r="L19" s="22" t="n">
        <f aca="false">205538.35-40000-7000</f>
        <v>158538.35</v>
      </c>
      <c r="M19" s="22"/>
      <c r="N19" s="22"/>
      <c r="O19" s="22"/>
      <c r="P19" s="22" t="n">
        <f aca="false">SUM(Q19:U19)</f>
        <v>0</v>
      </c>
      <c r="Q19" s="22"/>
      <c r="R19" s="22"/>
      <c r="S19" s="22"/>
      <c r="T19" s="22"/>
      <c r="U19" s="22"/>
      <c r="V19" s="22" t="n">
        <f aca="false">SUM(W19:AA19)</f>
        <v>0</v>
      </c>
      <c r="W19" s="22"/>
      <c r="X19" s="22"/>
      <c r="Y19" s="22"/>
      <c r="Z19" s="22"/>
      <c r="AA19" s="22"/>
      <c r="AB19" s="22" t="n">
        <f aca="false">SUM(AC19:AF19)</f>
        <v>0</v>
      </c>
      <c r="AC19" s="22"/>
      <c r="AD19" s="22"/>
      <c r="AE19" s="22"/>
      <c r="AF19" s="22"/>
      <c r="AG19" s="21" t="n">
        <f aca="false">SUM(AH19:AK19)</f>
        <v>0</v>
      </c>
      <c r="AH19" s="22"/>
      <c r="AI19" s="22"/>
      <c r="AJ19" s="22"/>
      <c r="AK19" s="22"/>
      <c r="AL19" s="19" t="s">
        <v>105</v>
      </c>
      <c r="AM19" s="19" t="s">
        <v>25</v>
      </c>
      <c r="AN19" s="19"/>
      <c r="AO19" s="19" t="s">
        <v>48</v>
      </c>
      <c r="AP19" s="19" t="s">
        <v>106</v>
      </c>
      <c r="AQ19" s="19" t="s">
        <v>50</v>
      </c>
      <c r="AR19" s="19" t="s">
        <v>107</v>
      </c>
      <c r="AS19" s="19" t="s">
        <v>50</v>
      </c>
      <c r="AT19" s="19" t="s">
        <v>50</v>
      </c>
      <c r="AU19" s="23" t="s">
        <v>108</v>
      </c>
      <c r="AV19" s="25" t="s">
        <v>53</v>
      </c>
      <c r="AW19" s="23" t="s">
        <v>54</v>
      </c>
      <c r="AX19" s="25" t="s">
        <v>109</v>
      </c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</row>
    <row r="20" customFormat="false" ht="113.25" hidden="false" customHeight="true" outlineLevel="0" collapsed="false">
      <c r="A20" s="18" t="s">
        <v>110</v>
      </c>
      <c r="B20" s="19" t="s">
        <v>100</v>
      </c>
      <c r="C20" s="15" t="s">
        <v>107</v>
      </c>
      <c r="D20" s="15" t="s">
        <v>111</v>
      </c>
      <c r="E20" s="18" t="s">
        <v>102</v>
      </c>
      <c r="F20" s="19" t="s">
        <v>103</v>
      </c>
      <c r="G20" s="15" t="s">
        <v>112</v>
      </c>
      <c r="H20" s="15" t="s">
        <v>113</v>
      </c>
      <c r="I20" s="21" t="n">
        <f aca="false">J20+P20+V20+AB20+AG20</f>
        <v>515158</v>
      </c>
      <c r="J20" s="21" t="n">
        <f aca="false">SUM(K20:O20)</f>
        <v>126547.4</v>
      </c>
      <c r="K20" s="28" t="n">
        <f aca="false">164881.9-39600</f>
        <v>125281.9</v>
      </c>
      <c r="L20" s="28" t="n">
        <f aca="false">1665.5-400</f>
        <v>1265.5</v>
      </c>
      <c r="M20" s="28"/>
      <c r="N20" s="28"/>
      <c r="O20" s="28"/>
      <c r="P20" s="22" t="n">
        <f aca="false">SUM(Q20:U20)</f>
        <v>388610.6</v>
      </c>
      <c r="Q20" s="22" t="n">
        <v>341977.3</v>
      </c>
      <c r="R20" s="28" t="n">
        <v>46633.3</v>
      </c>
      <c r="S20" s="28"/>
      <c r="T20" s="28"/>
      <c r="U20" s="28"/>
      <c r="V20" s="22" t="n">
        <f aca="false">SUM(W20:AA20)</f>
        <v>0</v>
      </c>
      <c r="W20" s="28"/>
      <c r="X20" s="28"/>
      <c r="Y20" s="28"/>
      <c r="Z20" s="28"/>
      <c r="AA20" s="28"/>
      <c r="AB20" s="22" t="n">
        <f aca="false">SUM(AC20:AF20)</f>
        <v>0</v>
      </c>
      <c r="AC20" s="28"/>
      <c r="AD20" s="28"/>
      <c r="AE20" s="28"/>
      <c r="AF20" s="28"/>
      <c r="AG20" s="21" t="n">
        <f aca="false">SUM(AH20:AK20)</f>
        <v>0</v>
      </c>
      <c r="AH20" s="28"/>
      <c r="AI20" s="28"/>
      <c r="AJ20" s="28"/>
      <c r="AK20" s="28"/>
      <c r="AL20" s="15" t="s">
        <v>114</v>
      </c>
      <c r="AM20" s="17"/>
      <c r="AN20" s="17" t="s">
        <v>26</v>
      </c>
      <c r="AO20" s="29" t="s">
        <v>115</v>
      </c>
      <c r="AP20" s="17"/>
      <c r="AQ20" s="29" t="s">
        <v>116</v>
      </c>
      <c r="AR20" s="15" t="s">
        <v>107</v>
      </c>
      <c r="AS20" s="29" t="s">
        <v>117</v>
      </c>
      <c r="AT20" s="29" t="s">
        <v>117</v>
      </c>
      <c r="AU20" s="17"/>
      <c r="AV20" s="19" t="s">
        <v>53</v>
      </c>
      <c r="AW20" s="17" t="s">
        <v>90</v>
      </c>
      <c r="AX20" s="17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</row>
    <row r="21" customFormat="false" ht="113.25" hidden="false" customHeight="true" outlineLevel="0" collapsed="false">
      <c r="A21" s="18" t="s">
        <v>118</v>
      </c>
      <c r="B21" s="15" t="s">
        <v>100</v>
      </c>
      <c r="C21" s="19" t="s">
        <v>41</v>
      </c>
      <c r="D21" s="23" t="s">
        <v>119</v>
      </c>
      <c r="E21" s="18" t="s">
        <v>120</v>
      </c>
      <c r="F21" s="19" t="s">
        <v>121</v>
      </c>
      <c r="G21" s="15" t="s">
        <v>122</v>
      </c>
      <c r="H21" s="16" t="s">
        <v>113</v>
      </c>
      <c r="I21" s="21" t="n">
        <f aca="false">J21+P21+V21+AB21+AG21</f>
        <v>230152.77</v>
      </c>
      <c r="J21" s="21" t="n">
        <f aca="false">SUM(K21:O21)</f>
        <v>230152.77</v>
      </c>
      <c r="K21" s="28"/>
      <c r="L21" s="28" t="n">
        <v>230152.77</v>
      </c>
      <c r="M21" s="28"/>
      <c r="N21" s="28"/>
      <c r="O21" s="28"/>
      <c r="P21" s="22" t="n">
        <f aca="false">SUM(Q21:U21)</f>
        <v>0</v>
      </c>
      <c r="Q21" s="22"/>
      <c r="R21" s="28"/>
      <c r="S21" s="28"/>
      <c r="T21" s="28"/>
      <c r="U21" s="28"/>
      <c r="V21" s="22" t="n">
        <f aca="false">SUM(W21:AA21)</f>
        <v>0</v>
      </c>
      <c r="W21" s="28"/>
      <c r="X21" s="28"/>
      <c r="Y21" s="28"/>
      <c r="Z21" s="28"/>
      <c r="AA21" s="28"/>
      <c r="AB21" s="22" t="n">
        <f aca="false">SUM(AC21:AF21)</f>
        <v>0</v>
      </c>
      <c r="AC21" s="28"/>
      <c r="AD21" s="28"/>
      <c r="AE21" s="28"/>
      <c r="AF21" s="28"/>
      <c r="AG21" s="21" t="n">
        <f aca="false">SUM(AH21:AK21)</f>
        <v>0</v>
      </c>
      <c r="AH21" s="28"/>
      <c r="AI21" s="28"/>
      <c r="AJ21" s="28"/>
      <c r="AK21" s="28"/>
      <c r="AL21" s="19" t="s">
        <v>123</v>
      </c>
      <c r="AM21" s="16" t="s">
        <v>25</v>
      </c>
      <c r="AN21" s="16"/>
      <c r="AO21" s="16" t="s">
        <v>48</v>
      </c>
      <c r="AP21" s="16" t="s">
        <v>124</v>
      </c>
      <c r="AQ21" s="16" t="s">
        <v>50</v>
      </c>
      <c r="AR21" s="16" t="s">
        <v>107</v>
      </c>
      <c r="AS21" s="19" t="s">
        <v>50</v>
      </c>
      <c r="AT21" s="19" t="s">
        <v>50</v>
      </c>
      <c r="AU21" s="16" t="s">
        <v>125</v>
      </c>
      <c r="AV21" s="16" t="s">
        <v>126</v>
      </c>
      <c r="AW21" s="16" t="s">
        <v>127</v>
      </c>
      <c r="AX21" s="16" t="s">
        <v>128</v>
      </c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</row>
    <row r="22" customFormat="false" ht="117" hidden="false" customHeight="true" outlineLevel="0" collapsed="false">
      <c r="A22" s="18" t="s">
        <v>129</v>
      </c>
      <c r="B22" s="19" t="s">
        <v>130</v>
      </c>
      <c r="C22" s="19" t="s">
        <v>41</v>
      </c>
      <c r="D22" s="23" t="s">
        <v>131</v>
      </c>
      <c r="E22" s="20" t="s">
        <v>132</v>
      </c>
      <c r="F22" s="19" t="s">
        <v>133</v>
      </c>
      <c r="G22" s="19" t="s">
        <v>134</v>
      </c>
      <c r="H22" s="19" t="s">
        <v>135</v>
      </c>
      <c r="I22" s="21" t="n">
        <f aca="false">J22+P22+V22+AB22+AG22</f>
        <v>168306.407</v>
      </c>
      <c r="J22" s="21" t="n">
        <f aca="false">SUM(K22:O22)</f>
        <v>168306.407</v>
      </c>
      <c r="K22" s="22"/>
      <c r="L22" s="22" t="n">
        <f aca="false">208306.407-30000-10000</f>
        <v>168306.407</v>
      </c>
      <c r="M22" s="22"/>
      <c r="N22" s="22"/>
      <c r="O22" s="22"/>
      <c r="P22" s="22" t="n">
        <f aca="false">SUM(Q22:U22)</f>
        <v>0</v>
      </c>
      <c r="Q22" s="22"/>
      <c r="R22" s="22"/>
      <c r="S22" s="22"/>
      <c r="T22" s="22"/>
      <c r="U22" s="22"/>
      <c r="V22" s="22" t="n">
        <f aca="false">SUM(W22:AA22)</f>
        <v>0</v>
      </c>
      <c r="W22" s="22"/>
      <c r="X22" s="22"/>
      <c r="Y22" s="22"/>
      <c r="Z22" s="22"/>
      <c r="AA22" s="22"/>
      <c r="AB22" s="22" t="n">
        <f aca="false">SUM(AC22:AF22)</f>
        <v>0</v>
      </c>
      <c r="AC22" s="22"/>
      <c r="AD22" s="22"/>
      <c r="AE22" s="22"/>
      <c r="AF22" s="22"/>
      <c r="AG22" s="21" t="n">
        <f aca="false">SUM(AH22:AK22)</f>
        <v>0</v>
      </c>
      <c r="AH22" s="22"/>
      <c r="AI22" s="22"/>
      <c r="AJ22" s="22"/>
      <c r="AK22" s="22"/>
      <c r="AL22" s="19" t="s">
        <v>136</v>
      </c>
      <c r="AM22" s="19" t="s">
        <v>25</v>
      </c>
      <c r="AN22" s="19"/>
      <c r="AO22" s="19" t="s">
        <v>48</v>
      </c>
      <c r="AP22" s="19" t="s">
        <v>137</v>
      </c>
      <c r="AQ22" s="19" t="s">
        <v>50</v>
      </c>
      <c r="AR22" s="19" t="s">
        <v>138</v>
      </c>
      <c r="AS22" s="19" t="s">
        <v>41</v>
      </c>
      <c r="AT22" s="19" t="s">
        <v>50</v>
      </c>
      <c r="AU22" s="19" t="s">
        <v>139</v>
      </c>
      <c r="AV22" s="19" t="s">
        <v>53</v>
      </c>
      <c r="AW22" s="19" t="s">
        <v>54</v>
      </c>
      <c r="AX22" s="19" t="s">
        <v>140</v>
      </c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</row>
    <row r="23" customFormat="false" ht="112.5" hidden="false" customHeight="true" outlineLevel="0" collapsed="false">
      <c r="A23" s="18" t="s">
        <v>141</v>
      </c>
      <c r="B23" s="19" t="s">
        <v>130</v>
      </c>
      <c r="C23" s="19" t="s">
        <v>41</v>
      </c>
      <c r="D23" s="23" t="s">
        <v>131</v>
      </c>
      <c r="E23" s="20" t="s">
        <v>142</v>
      </c>
      <c r="F23" s="19" t="s">
        <v>143</v>
      </c>
      <c r="G23" s="19" t="s">
        <v>144</v>
      </c>
      <c r="H23" s="19" t="s">
        <v>113</v>
      </c>
      <c r="I23" s="21" t="n">
        <f aca="false">J23+P23+V23+AB23+AG23</f>
        <v>469376.52</v>
      </c>
      <c r="J23" s="21" t="n">
        <f aca="false">SUM(K23:O23)</f>
        <v>469376.52</v>
      </c>
      <c r="K23" s="22"/>
      <c r="L23" s="30" t="n">
        <f aca="false">579376.52-110000</f>
        <v>469376.52</v>
      </c>
      <c r="M23" s="22"/>
      <c r="N23" s="22"/>
      <c r="O23" s="22"/>
      <c r="P23" s="22" t="n">
        <f aca="false">SUM(Q23:U23)</f>
        <v>0</v>
      </c>
      <c r="Q23" s="22"/>
      <c r="R23" s="22"/>
      <c r="S23" s="22"/>
      <c r="T23" s="22"/>
      <c r="U23" s="22"/>
      <c r="V23" s="22" t="n">
        <f aca="false">SUM(W23:AA23)</f>
        <v>0</v>
      </c>
      <c r="W23" s="22"/>
      <c r="X23" s="22"/>
      <c r="Y23" s="22"/>
      <c r="Z23" s="22"/>
      <c r="AA23" s="22"/>
      <c r="AB23" s="22" t="n">
        <f aca="false">SUM(AC23:AF23)</f>
        <v>0</v>
      </c>
      <c r="AC23" s="22"/>
      <c r="AD23" s="22"/>
      <c r="AE23" s="22"/>
      <c r="AF23" s="22"/>
      <c r="AG23" s="21" t="n">
        <f aca="false">SUM(AH23:AK23)</f>
        <v>0</v>
      </c>
      <c r="AH23" s="22"/>
      <c r="AI23" s="22"/>
      <c r="AJ23" s="22"/>
      <c r="AK23" s="22"/>
      <c r="AL23" s="19" t="s">
        <v>136</v>
      </c>
      <c r="AM23" s="19" t="s">
        <v>25</v>
      </c>
      <c r="AN23" s="19"/>
      <c r="AO23" s="19" t="s">
        <v>48</v>
      </c>
      <c r="AP23" s="19" t="s">
        <v>145</v>
      </c>
      <c r="AQ23" s="19" t="s">
        <v>50</v>
      </c>
      <c r="AR23" s="19" t="s">
        <v>138</v>
      </c>
      <c r="AS23" s="19" t="s">
        <v>41</v>
      </c>
      <c r="AT23" s="19" t="s">
        <v>50</v>
      </c>
      <c r="AU23" s="25" t="s">
        <v>146</v>
      </c>
      <c r="AV23" s="19" t="s">
        <v>53</v>
      </c>
      <c r="AW23" s="19" t="s">
        <v>54</v>
      </c>
      <c r="AX23" s="25" t="s">
        <v>147</v>
      </c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</row>
    <row r="24" customFormat="false" ht="112.5" hidden="false" customHeight="true" outlineLevel="0" collapsed="false">
      <c r="A24" s="18" t="s">
        <v>148</v>
      </c>
      <c r="B24" s="19" t="s">
        <v>130</v>
      </c>
      <c r="C24" s="31" t="s">
        <v>138</v>
      </c>
      <c r="D24" s="31" t="s">
        <v>131</v>
      </c>
      <c r="E24" s="20" t="s">
        <v>142</v>
      </c>
      <c r="F24" s="31" t="s">
        <v>149</v>
      </c>
      <c r="G24" s="31" t="s">
        <v>150</v>
      </c>
      <c r="H24" s="31" t="s">
        <v>113</v>
      </c>
      <c r="I24" s="21" t="n">
        <f aca="false">J24+P24+V24+AB24+AG24</f>
        <v>61519.73706</v>
      </c>
      <c r="J24" s="32" t="n">
        <f aca="false">K24+M24</f>
        <v>61519.73706</v>
      </c>
      <c r="K24" s="32" t="n">
        <v>57739.42</v>
      </c>
      <c r="L24" s="33"/>
      <c r="M24" s="32" t="n">
        <v>3780.31706</v>
      </c>
      <c r="N24" s="34"/>
      <c r="O24" s="34"/>
      <c r="P24" s="22" t="n">
        <f aca="false">SUM(Q24:U24)</f>
        <v>0</v>
      </c>
      <c r="Q24" s="22"/>
      <c r="R24" s="22"/>
      <c r="S24" s="22"/>
      <c r="T24" s="22"/>
      <c r="U24" s="22"/>
      <c r="V24" s="22" t="n">
        <f aca="false">SUM(W24:AA24)</f>
        <v>0</v>
      </c>
      <c r="W24" s="22"/>
      <c r="X24" s="22"/>
      <c r="Y24" s="22"/>
      <c r="Z24" s="22"/>
      <c r="AA24" s="22"/>
      <c r="AB24" s="22" t="n">
        <f aca="false">SUM(AC24:AF24)</f>
        <v>0</v>
      </c>
      <c r="AC24" s="22"/>
      <c r="AD24" s="22"/>
      <c r="AE24" s="22"/>
      <c r="AF24" s="22"/>
      <c r="AG24" s="21" t="n">
        <f aca="false">SUM(AH24:AK24)</f>
        <v>0</v>
      </c>
      <c r="AH24" s="22"/>
      <c r="AI24" s="22"/>
      <c r="AJ24" s="22"/>
      <c r="AK24" s="22"/>
      <c r="AL24" s="31" t="s">
        <v>136</v>
      </c>
      <c r="AM24" s="31" t="s">
        <v>25</v>
      </c>
      <c r="AN24" s="31"/>
      <c r="AO24" s="31" t="s">
        <v>151</v>
      </c>
      <c r="AP24" s="31" t="s">
        <v>152</v>
      </c>
      <c r="AQ24" s="31" t="s">
        <v>113</v>
      </c>
      <c r="AR24" s="31" t="s">
        <v>138</v>
      </c>
      <c r="AS24" s="31" t="s">
        <v>153</v>
      </c>
      <c r="AT24" s="31" t="s">
        <v>153</v>
      </c>
      <c r="AU24" s="35" t="s">
        <v>154</v>
      </c>
      <c r="AV24" s="31" t="s">
        <v>155</v>
      </c>
      <c r="AW24" s="34" t="s">
        <v>54</v>
      </c>
      <c r="AX24" s="34" t="s">
        <v>156</v>
      </c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</row>
    <row r="25" customFormat="false" ht="125.25" hidden="false" customHeight="true" outlineLevel="0" collapsed="false">
      <c r="A25" s="18" t="s">
        <v>157</v>
      </c>
      <c r="B25" s="19" t="s">
        <v>130</v>
      </c>
      <c r="C25" s="31" t="s">
        <v>158</v>
      </c>
      <c r="D25" s="31" t="s">
        <v>131</v>
      </c>
      <c r="E25" s="20" t="s">
        <v>142</v>
      </c>
      <c r="F25" s="31" t="s">
        <v>149</v>
      </c>
      <c r="G25" s="31" t="s">
        <v>159</v>
      </c>
      <c r="H25" s="31" t="s">
        <v>113</v>
      </c>
      <c r="I25" s="21" t="n">
        <f aca="false">J25+P25+V25+AB25+AG25</f>
        <v>0</v>
      </c>
      <c r="J25" s="32" t="n">
        <f aca="false">SUM(K25:O25)</f>
        <v>0</v>
      </c>
      <c r="K25" s="32"/>
      <c r="L25" s="33"/>
      <c r="M25" s="32"/>
      <c r="N25" s="36"/>
      <c r="O25" s="36"/>
      <c r="P25" s="22" t="n">
        <f aca="false">SUM(Q25:U25)</f>
        <v>0</v>
      </c>
      <c r="Q25" s="22"/>
      <c r="R25" s="22"/>
      <c r="S25" s="22"/>
      <c r="T25" s="22"/>
      <c r="U25" s="22"/>
      <c r="V25" s="22" t="n">
        <f aca="false">SUM(W25:AA25)</f>
        <v>0</v>
      </c>
      <c r="W25" s="22"/>
      <c r="X25" s="22"/>
      <c r="Y25" s="22"/>
      <c r="Z25" s="22"/>
      <c r="AA25" s="22"/>
      <c r="AB25" s="22" t="n">
        <f aca="false">SUM(AC25:AF25)</f>
        <v>0</v>
      </c>
      <c r="AC25" s="22"/>
      <c r="AD25" s="22"/>
      <c r="AE25" s="22"/>
      <c r="AF25" s="22"/>
      <c r="AG25" s="21" t="n">
        <f aca="false">SUM(AH25:AK25)</f>
        <v>0</v>
      </c>
      <c r="AH25" s="22"/>
      <c r="AI25" s="22"/>
      <c r="AJ25" s="22"/>
      <c r="AK25" s="22"/>
      <c r="AL25" s="31" t="s">
        <v>136</v>
      </c>
      <c r="AM25" s="31" t="s">
        <v>25</v>
      </c>
      <c r="AN25" s="31"/>
      <c r="AO25" s="31" t="s">
        <v>48</v>
      </c>
      <c r="AP25" s="31" t="s">
        <v>160</v>
      </c>
      <c r="AQ25" s="31" t="s">
        <v>158</v>
      </c>
      <c r="AR25" s="31" t="s">
        <v>138</v>
      </c>
      <c r="AS25" s="31" t="s">
        <v>158</v>
      </c>
      <c r="AT25" s="31" t="s">
        <v>158</v>
      </c>
      <c r="AU25" s="35"/>
      <c r="AV25" s="31" t="s">
        <v>126</v>
      </c>
      <c r="AW25" s="34" t="s">
        <v>161</v>
      </c>
      <c r="AX25" s="34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</row>
    <row r="26" customFormat="false" ht="128.25" hidden="false" customHeight="true" outlineLevel="0" collapsed="false">
      <c r="A26" s="18" t="s">
        <v>162</v>
      </c>
      <c r="B26" s="19" t="s">
        <v>130</v>
      </c>
      <c r="C26" s="31" t="s">
        <v>158</v>
      </c>
      <c r="D26" s="31" t="s">
        <v>131</v>
      </c>
      <c r="E26" s="20" t="s">
        <v>142</v>
      </c>
      <c r="F26" s="31" t="s">
        <v>149</v>
      </c>
      <c r="G26" s="31" t="s">
        <v>163</v>
      </c>
      <c r="H26" s="31" t="s">
        <v>113</v>
      </c>
      <c r="I26" s="21" t="n">
        <f aca="false">J26+P26+V26+AB26+AG26</f>
        <v>0</v>
      </c>
      <c r="J26" s="32" t="n">
        <f aca="false">SUM(K26:O26)</f>
        <v>0</v>
      </c>
      <c r="K26" s="32"/>
      <c r="L26" s="33"/>
      <c r="M26" s="32"/>
      <c r="N26" s="36"/>
      <c r="O26" s="36"/>
      <c r="P26" s="22" t="n">
        <f aca="false">SUM(Q26:U26)</f>
        <v>0</v>
      </c>
      <c r="Q26" s="22"/>
      <c r="R26" s="22"/>
      <c r="S26" s="22"/>
      <c r="T26" s="22"/>
      <c r="U26" s="22"/>
      <c r="V26" s="22" t="n">
        <f aca="false">SUM(W26:AA26)</f>
        <v>0</v>
      </c>
      <c r="W26" s="22"/>
      <c r="X26" s="22"/>
      <c r="Y26" s="22"/>
      <c r="Z26" s="22"/>
      <c r="AA26" s="22"/>
      <c r="AB26" s="22" t="n">
        <f aca="false">SUM(AC26:AF26)</f>
        <v>0</v>
      </c>
      <c r="AC26" s="22"/>
      <c r="AD26" s="22"/>
      <c r="AE26" s="22"/>
      <c r="AF26" s="22"/>
      <c r="AG26" s="21" t="n">
        <f aca="false">SUM(AH26:AK26)</f>
        <v>0</v>
      </c>
      <c r="AH26" s="22"/>
      <c r="AI26" s="22"/>
      <c r="AJ26" s="22"/>
      <c r="AK26" s="22"/>
      <c r="AL26" s="31" t="s">
        <v>136</v>
      </c>
      <c r="AM26" s="31" t="s">
        <v>25</v>
      </c>
      <c r="AN26" s="31"/>
      <c r="AO26" s="31" t="s">
        <v>48</v>
      </c>
      <c r="AP26" s="31" t="s">
        <v>164</v>
      </c>
      <c r="AQ26" s="31" t="s">
        <v>158</v>
      </c>
      <c r="AR26" s="31" t="s">
        <v>138</v>
      </c>
      <c r="AS26" s="31" t="s">
        <v>158</v>
      </c>
      <c r="AT26" s="31" t="s">
        <v>158</v>
      </c>
      <c r="AU26" s="35"/>
      <c r="AV26" s="31" t="s">
        <v>126</v>
      </c>
      <c r="AW26" s="34" t="s">
        <v>161</v>
      </c>
      <c r="AX26" s="34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</row>
    <row r="27" customFormat="false" ht="126" hidden="false" customHeight="true" outlineLevel="0" collapsed="false">
      <c r="A27" s="18" t="s">
        <v>165</v>
      </c>
      <c r="B27" s="19" t="s">
        <v>130</v>
      </c>
      <c r="C27" s="31" t="s">
        <v>158</v>
      </c>
      <c r="D27" s="31" t="s">
        <v>131</v>
      </c>
      <c r="E27" s="20" t="s">
        <v>142</v>
      </c>
      <c r="F27" s="31" t="s">
        <v>149</v>
      </c>
      <c r="G27" s="31" t="s">
        <v>166</v>
      </c>
      <c r="H27" s="31" t="s">
        <v>113</v>
      </c>
      <c r="I27" s="21" t="n">
        <f aca="false">J27+P27+V27+AB27+AG27</f>
        <v>0</v>
      </c>
      <c r="J27" s="32" t="n">
        <f aca="false">SUM(K27:O27)</f>
        <v>0</v>
      </c>
      <c r="K27" s="32"/>
      <c r="L27" s="33"/>
      <c r="M27" s="32"/>
      <c r="N27" s="36"/>
      <c r="O27" s="36"/>
      <c r="P27" s="22" t="n">
        <f aca="false">SUM(Q27:U27)</f>
        <v>0</v>
      </c>
      <c r="Q27" s="22"/>
      <c r="R27" s="22"/>
      <c r="S27" s="22"/>
      <c r="T27" s="22"/>
      <c r="U27" s="22"/>
      <c r="V27" s="22" t="n">
        <f aca="false">SUM(W27:AA27)</f>
        <v>0</v>
      </c>
      <c r="W27" s="22"/>
      <c r="X27" s="22"/>
      <c r="Y27" s="22"/>
      <c r="Z27" s="22"/>
      <c r="AA27" s="22"/>
      <c r="AB27" s="22" t="n">
        <f aca="false">SUM(AC27:AF27)</f>
        <v>0</v>
      </c>
      <c r="AC27" s="22"/>
      <c r="AD27" s="22"/>
      <c r="AE27" s="22"/>
      <c r="AF27" s="22"/>
      <c r="AG27" s="21" t="n">
        <f aca="false">SUM(AH27:AK27)</f>
        <v>0</v>
      </c>
      <c r="AH27" s="22"/>
      <c r="AI27" s="22"/>
      <c r="AJ27" s="22"/>
      <c r="AK27" s="22"/>
      <c r="AL27" s="31" t="s">
        <v>136</v>
      </c>
      <c r="AM27" s="31" t="s">
        <v>25</v>
      </c>
      <c r="AN27" s="31"/>
      <c r="AO27" s="31" t="s">
        <v>48</v>
      </c>
      <c r="AP27" s="31" t="s">
        <v>167</v>
      </c>
      <c r="AQ27" s="31" t="s">
        <v>158</v>
      </c>
      <c r="AR27" s="31" t="s">
        <v>138</v>
      </c>
      <c r="AS27" s="31" t="s">
        <v>158</v>
      </c>
      <c r="AT27" s="31" t="s">
        <v>158</v>
      </c>
      <c r="AU27" s="35"/>
      <c r="AV27" s="31" t="s">
        <v>126</v>
      </c>
      <c r="AW27" s="34" t="s">
        <v>161</v>
      </c>
      <c r="AX27" s="34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</row>
    <row r="28" customFormat="false" ht="106.5" hidden="false" customHeight="true" outlineLevel="0" collapsed="false">
      <c r="A28" s="18" t="s">
        <v>168</v>
      </c>
      <c r="B28" s="19" t="s">
        <v>169</v>
      </c>
      <c r="C28" s="19" t="s">
        <v>41</v>
      </c>
      <c r="D28" s="23" t="s">
        <v>170</v>
      </c>
      <c r="E28" s="20" t="s">
        <v>171</v>
      </c>
      <c r="F28" s="19" t="s">
        <v>172</v>
      </c>
      <c r="G28" s="19" t="s">
        <v>173</v>
      </c>
      <c r="H28" s="19" t="s">
        <v>174</v>
      </c>
      <c r="I28" s="21" t="n">
        <f aca="false">J28+P28+V28+AB28+AG28</f>
        <v>659600</v>
      </c>
      <c r="J28" s="21" t="n">
        <f aca="false">SUM(K28:O28)</f>
        <v>1500</v>
      </c>
      <c r="K28" s="22"/>
      <c r="L28" s="37" t="n">
        <f aca="false">5000-3500</f>
        <v>1500</v>
      </c>
      <c r="M28" s="22"/>
      <c r="N28" s="22"/>
      <c r="O28" s="22"/>
      <c r="P28" s="22" t="n">
        <f aca="false">SUM(Q28:U28)</f>
        <v>335000</v>
      </c>
      <c r="Q28" s="22" t="n">
        <v>300000</v>
      </c>
      <c r="R28" s="37" t="n">
        <v>35000</v>
      </c>
      <c r="S28" s="37"/>
      <c r="T28" s="22"/>
      <c r="U28" s="22"/>
      <c r="V28" s="22" t="n">
        <f aca="false">SUM(W28:AA28)</f>
        <v>323100</v>
      </c>
      <c r="W28" s="22" t="n">
        <v>323100</v>
      </c>
      <c r="X28" s="22"/>
      <c r="Y28" s="22"/>
      <c r="Z28" s="22"/>
      <c r="AA28" s="22"/>
      <c r="AB28" s="22" t="n">
        <f aca="false">SUM(AC28:AF28)</f>
        <v>0</v>
      </c>
      <c r="AC28" s="22"/>
      <c r="AD28" s="22"/>
      <c r="AE28" s="22"/>
      <c r="AF28" s="22"/>
      <c r="AG28" s="21" t="n">
        <f aca="false">SUM(AH28:AK28)</f>
        <v>0</v>
      </c>
      <c r="AH28" s="22"/>
      <c r="AI28" s="22"/>
      <c r="AJ28" s="22"/>
      <c r="AK28" s="22"/>
      <c r="AL28" s="23" t="s">
        <v>175</v>
      </c>
      <c r="AM28" s="23" t="s">
        <v>176</v>
      </c>
      <c r="AN28" s="23" t="s">
        <v>25</v>
      </c>
      <c r="AO28" s="23" t="s">
        <v>48</v>
      </c>
      <c r="AP28" s="23" t="s">
        <v>177</v>
      </c>
      <c r="AQ28" s="23" t="s">
        <v>50</v>
      </c>
      <c r="AR28" s="23" t="s">
        <v>178</v>
      </c>
      <c r="AS28" s="23" t="s">
        <v>41</v>
      </c>
      <c r="AT28" s="19" t="s">
        <v>50</v>
      </c>
      <c r="AU28" s="35" t="s">
        <v>179</v>
      </c>
      <c r="AV28" s="25" t="s">
        <v>53</v>
      </c>
      <c r="AW28" s="23" t="s">
        <v>90</v>
      </c>
      <c r="AX28" s="38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</row>
    <row r="29" customFormat="false" ht="135.75" hidden="false" customHeight="true" outlineLevel="0" collapsed="false">
      <c r="A29" s="18" t="s">
        <v>180</v>
      </c>
      <c r="B29" s="31" t="s">
        <v>181</v>
      </c>
      <c r="C29" s="15" t="s">
        <v>182</v>
      </c>
      <c r="D29" s="15" t="s">
        <v>183</v>
      </c>
      <c r="E29" s="15" t="n">
        <v>1102</v>
      </c>
      <c r="F29" s="15" t="s">
        <v>184</v>
      </c>
      <c r="G29" s="31" t="s">
        <v>185</v>
      </c>
      <c r="H29" s="15" t="s">
        <v>113</v>
      </c>
      <c r="I29" s="21" t="n">
        <f aca="false">J29+P29+V29+AB29+AG29</f>
        <v>609250</v>
      </c>
      <c r="J29" s="21" t="n">
        <f aca="false">SUM(K29:O29)</f>
        <v>0</v>
      </c>
      <c r="K29" s="28"/>
      <c r="L29" s="28"/>
      <c r="M29" s="28"/>
      <c r="N29" s="28"/>
      <c r="O29" s="28"/>
      <c r="P29" s="22" t="n">
        <f aca="false">SUM(Q29:U29)</f>
        <v>259250</v>
      </c>
      <c r="Q29" s="28"/>
      <c r="R29" s="28" t="n">
        <f aca="false">300000-40750</f>
        <v>259250</v>
      </c>
      <c r="S29" s="28"/>
      <c r="T29" s="28"/>
      <c r="U29" s="28"/>
      <c r="V29" s="22" t="n">
        <f aca="false">SUM(W29:AA29)</f>
        <v>350000</v>
      </c>
      <c r="W29" s="28"/>
      <c r="X29" s="28" t="n">
        <v>350000</v>
      </c>
      <c r="Y29" s="28"/>
      <c r="Z29" s="28"/>
      <c r="AA29" s="28"/>
      <c r="AB29" s="22" t="n">
        <f aca="false">SUM(AC29:AF29)</f>
        <v>0</v>
      </c>
      <c r="AC29" s="28"/>
      <c r="AD29" s="28"/>
      <c r="AE29" s="28"/>
      <c r="AF29" s="28"/>
      <c r="AG29" s="21" t="n">
        <f aca="false">SUM(AH29:AK29)</f>
        <v>0</v>
      </c>
      <c r="AH29" s="28"/>
      <c r="AI29" s="28"/>
      <c r="AJ29" s="28"/>
      <c r="AK29" s="28"/>
      <c r="AL29" s="15" t="s">
        <v>186</v>
      </c>
      <c r="AM29" s="15" t="s">
        <v>27</v>
      </c>
      <c r="AN29" s="15" t="s">
        <v>26</v>
      </c>
      <c r="AO29" s="16" t="s">
        <v>187</v>
      </c>
      <c r="AP29" s="15" t="s">
        <v>188</v>
      </c>
      <c r="AQ29" s="15" t="s">
        <v>189</v>
      </c>
      <c r="AR29" s="15" t="s">
        <v>190</v>
      </c>
      <c r="AS29" s="15" t="s">
        <v>189</v>
      </c>
      <c r="AT29" s="15" t="s">
        <v>189</v>
      </c>
      <c r="AU29" s="28"/>
      <c r="AV29" s="19" t="s">
        <v>53</v>
      </c>
      <c r="AW29" s="15" t="s">
        <v>191</v>
      </c>
      <c r="AX29" s="15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</row>
    <row r="30" customFormat="false" ht="135.75" hidden="false" customHeight="true" outlineLevel="0" collapsed="false">
      <c r="A30" s="18" t="s">
        <v>192</v>
      </c>
      <c r="B30" s="31" t="s">
        <v>181</v>
      </c>
      <c r="C30" s="31" t="s">
        <v>182</v>
      </c>
      <c r="D30" s="31" t="s">
        <v>193</v>
      </c>
      <c r="E30" s="31" t="n">
        <v>1102</v>
      </c>
      <c r="F30" s="31" t="s">
        <v>194</v>
      </c>
      <c r="G30" s="31" t="s">
        <v>195</v>
      </c>
      <c r="H30" s="31" t="s">
        <v>196</v>
      </c>
      <c r="I30" s="32" t="n">
        <f aca="false">J30+V30+P30</f>
        <v>40750</v>
      </c>
      <c r="J30" s="21" t="n">
        <f aca="false">SUM(K30:O30)</f>
        <v>0</v>
      </c>
      <c r="K30" s="32"/>
      <c r="L30" s="32"/>
      <c r="M30" s="32"/>
      <c r="N30" s="32"/>
      <c r="O30" s="32"/>
      <c r="P30" s="22" t="n">
        <f aca="false">SUM(Q30:U30)</f>
        <v>40750</v>
      </c>
      <c r="Q30" s="32"/>
      <c r="R30" s="32" t="n">
        <v>40750</v>
      </c>
      <c r="S30" s="32"/>
      <c r="T30" s="32"/>
      <c r="U30" s="32"/>
      <c r="V30" s="22" t="n">
        <f aca="false">SUM(W30:AA30)</f>
        <v>0</v>
      </c>
      <c r="W30" s="32"/>
      <c r="X30" s="32"/>
      <c r="Y30" s="32"/>
      <c r="Z30" s="32"/>
      <c r="AA30" s="32"/>
      <c r="AB30" s="22" t="n">
        <f aca="false">SUM(AC30:AF30)</f>
        <v>0</v>
      </c>
      <c r="AC30" s="32"/>
      <c r="AD30" s="32"/>
      <c r="AE30" s="32"/>
      <c r="AF30" s="32"/>
      <c r="AG30" s="21" t="n">
        <f aca="false">SUM(AH30:AK30)</f>
        <v>0</v>
      </c>
      <c r="AH30" s="32"/>
      <c r="AI30" s="32"/>
      <c r="AJ30" s="32"/>
      <c r="AK30" s="32"/>
      <c r="AL30" s="31" t="s">
        <v>186</v>
      </c>
      <c r="AM30" s="31" t="s">
        <v>27</v>
      </c>
      <c r="AN30" s="31" t="s">
        <v>26</v>
      </c>
      <c r="AO30" s="31" t="s">
        <v>197</v>
      </c>
      <c r="AP30" s="34" t="s">
        <v>198</v>
      </c>
      <c r="AQ30" s="31" t="s">
        <v>189</v>
      </c>
      <c r="AR30" s="31" t="s">
        <v>199</v>
      </c>
      <c r="AS30" s="31" t="s">
        <v>200</v>
      </c>
      <c r="AT30" s="31" t="s">
        <v>200</v>
      </c>
      <c r="AU30" s="31"/>
      <c r="AV30" s="31" t="s">
        <v>126</v>
      </c>
      <c r="AW30" s="31" t="s">
        <v>90</v>
      </c>
      <c r="AX30" s="31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</row>
    <row r="31" customFormat="false" ht="135.75" hidden="false" customHeight="true" outlineLevel="0" collapsed="false">
      <c r="A31" s="18" t="s">
        <v>201</v>
      </c>
      <c r="B31" s="31" t="s">
        <v>181</v>
      </c>
      <c r="C31" s="31" t="s">
        <v>182</v>
      </c>
      <c r="D31" s="31" t="s">
        <v>193</v>
      </c>
      <c r="E31" s="31" t="n">
        <v>1103</v>
      </c>
      <c r="F31" s="31" t="s">
        <v>202</v>
      </c>
      <c r="G31" s="31" t="s">
        <v>203</v>
      </c>
      <c r="H31" s="31" t="s">
        <v>113</v>
      </c>
      <c r="I31" s="32" t="n">
        <v>265957.44681</v>
      </c>
      <c r="J31" s="21" t="n">
        <f aca="false">SUM(K31:O31)</f>
        <v>0</v>
      </c>
      <c r="K31" s="32"/>
      <c r="L31" s="32"/>
      <c r="M31" s="32"/>
      <c r="N31" s="32"/>
      <c r="O31" s="32"/>
      <c r="P31" s="22" t="n">
        <f aca="false">SUM(Q31:U31)</f>
        <v>0</v>
      </c>
      <c r="Q31" s="32"/>
      <c r="R31" s="32"/>
      <c r="S31" s="32"/>
      <c r="T31" s="32"/>
      <c r="U31" s="32"/>
      <c r="V31" s="32" t="n">
        <f aca="false">SUM(W31+X31)</f>
        <v>265957.44681</v>
      </c>
      <c r="W31" s="32" t="n">
        <v>250000</v>
      </c>
      <c r="X31" s="32" t="n">
        <v>15957.44681</v>
      </c>
      <c r="Y31" s="32"/>
      <c r="Z31" s="32"/>
      <c r="AA31" s="32"/>
      <c r="AB31" s="22" t="n">
        <f aca="false">SUM(AC31:AF31)</f>
        <v>0</v>
      </c>
      <c r="AC31" s="32"/>
      <c r="AD31" s="32"/>
      <c r="AE31" s="32"/>
      <c r="AF31" s="32"/>
      <c r="AG31" s="21" t="n">
        <f aca="false">SUM(AH31:AK31)</f>
        <v>0</v>
      </c>
      <c r="AH31" s="32"/>
      <c r="AI31" s="32"/>
      <c r="AJ31" s="32"/>
      <c r="AK31" s="32"/>
      <c r="AL31" s="31" t="s">
        <v>186</v>
      </c>
      <c r="AM31" s="31" t="s">
        <v>28</v>
      </c>
      <c r="AN31" s="31" t="s">
        <v>204</v>
      </c>
      <c r="AO31" s="31" t="s">
        <v>115</v>
      </c>
      <c r="AP31" s="34" t="s">
        <v>205</v>
      </c>
      <c r="AQ31" s="34" t="s">
        <v>206</v>
      </c>
      <c r="AR31" s="34" t="s">
        <v>190</v>
      </c>
      <c r="AS31" s="34" t="s">
        <v>206</v>
      </c>
      <c r="AT31" s="34" t="s">
        <v>206</v>
      </c>
      <c r="AU31" s="39" t="s">
        <v>207</v>
      </c>
      <c r="AV31" s="31" t="s">
        <v>126</v>
      </c>
      <c r="AW31" s="31" t="s">
        <v>208</v>
      </c>
      <c r="AX31" s="31" t="s">
        <v>209</v>
      </c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</row>
    <row r="32" customFormat="false" ht="126" hidden="false" customHeight="true" outlineLevel="0" collapsed="false">
      <c r="A32" s="18" t="s">
        <v>210</v>
      </c>
      <c r="B32" s="19" t="s">
        <v>211</v>
      </c>
      <c r="C32" s="19" t="s">
        <v>41</v>
      </c>
      <c r="D32" s="23" t="s">
        <v>212</v>
      </c>
      <c r="E32" s="20" t="s">
        <v>213</v>
      </c>
      <c r="F32" s="19" t="s">
        <v>214</v>
      </c>
      <c r="G32" s="19" t="s">
        <v>215</v>
      </c>
      <c r="H32" s="19" t="s">
        <v>113</v>
      </c>
      <c r="I32" s="21" t="n">
        <f aca="false">J32+P32+V32+AB32+AG32</f>
        <v>166342.44245</v>
      </c>
      <c r="J32" s="21" t="n">
        <f aca="false">SUM(K32:O32)</f>
        <v>166342.44245</v>
      </c>
      <c r="K32" s="37" t="n">
        <f aca="false">0+164514.3</f>
        <v>164514.3</v>
      </c>
      <c r="L32" s="37" t="n">
        <v>1661.8</v>
      </c>
      <c r="M32" s="22" t="n">
        <f aca="false">0+166.34245</f>
        <v>166.34245</v>
      </c>
      <c r="N32" s="22"/>
      <c r="O32" s="22"/>
      <c r="P32" s="22" t="n">
        <f aca="false">SUM(Q32:U32)</f>
        <v>0</v>
      </c>
      <c r="Q32" s="22"/>
      <c r="R32" s="22"/>
      <c r="S32" s="22"/>
      <c r="T32" s="22"/>
      <c r="U32" s="22"/>
      <c r="V32" s="22" t="n">
        <f aca="false">SUM(W32:AA32)</f>
        <v>0</v>
      </c>
      <c r="W32" s="22"/>
      <c r="X32" s="22"/>
      <c r="Y32" s="22"/>
      <c r="Z32" s="22"/>
      <c r="AA32" s="22"/>
      <c r="AB32" s="22" t="n">
        <f aca="false">SUM(AC32:AF32)</f>
        <v>0</v>
      </c>
      <c r="AC32" s="22"/>
      <c r="AD32" s="22"/>
      <c r="AE32" s="22"/>
      <c r="AF32" s="22"/>
      <c r="AG32" s="21" t="n">
        <f aca="false">SUM(AH32:AK32)</f>
        <v>0</v>
      </c>
      <c r="AH32" s="22"/>
      <c r="AI32" s="22"/>
      <c r="AJ32" s="22"/>
      <c r="AK32" s="22"/>
      <c r="AL32" s="23" t="s">
        <v>216</v>
      </c>
      <c r="AM32" s="23" t="s">
        <v>25</v>
      </c>
      <c r="AN32" s="23"/>
      <c r="AO32" s="23" t="s">
        <v>151</v>
      </c>
      <c r="AP32" s="23" t="s">
        <v>217</v>
      </c>
      <c r="AQ32" s="23" t="s">
        <v>113</v>
      </c>
      <c r="AR32" s="23" t="s">
        <v>218</v>
      </c>
      <c r="AS32" s="23" t="s">
        <v>41</v>
      </c>
      <c r="AT32" s="23" t="s">
        <v>219</v>
      </c>
      <c r="AU32" s="23"/>
      <c r="AV32" s="23" t="s">
        <v>155</v>
      </c>
      <c r="AW32" s="23" t="s">
        <v>63</v>
      </c>
      <c r="AX32" s="2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</row>
    <row r="33" customFormat="false" ht="126" hidden="false" customHeight="true" outlineLevel="0" collapsed="false">
      <c r="A33" s="18" t="s">
        <v>220</v>
      </c>
      <c r="B33" s="19" t="s">
        <v>211</v>
      </c>
      <c r="C33" s="19" t="s">
        <v>218</v>
      </c>
      <c r="D33" s="23" t="s">
        <v>212</v>
      </c>
      <c r="E33" s="29" t="s">
        <v>213</v>
      </c>
      <c r="F33" s="29" t="s">
        <v>221</v>
      </c>
      <c r="G33" s="29" t="s">
        <v>222</v>
      </c>
      <c r="H33" s="29" t="s">
        <v>223</v>
      </c>
      <c r="I33" s="21" t="n">
        <f aca="false">J33+P33+V33+AB33+AG33</f>
        <v>810456.2</v>
      </c>
      <c r="J33" s="21" t="n">
        <f aca="false">SUM(K33:O33)</f>
        <v>810456.2</v>
      </c>
      <c r="K33" s="40" t="n">
        <v>802351.6</v>
      </c>
      <c r="L33" s="40" t="n">
        <v>8104.6</v>
      </c>
      <c r="M33" s="40"/>
      <c r="N33" s="40"/>
      <c r="O33" s="40"/>
      <c r="P33" s="22" t="n">
        <f aca="false">SUM(Q33:U33)</f>
        <v>0</v>
      </c>
      <c r="Q33" s="22"/>
      <c r="R33" s="22"/>
      <c r="S33" s="22"/>
      <c r="T33" s="22"/>
      <c r="U33" s="22"/>
      <c r="V33" s="22" t="n">
        <f aca="false">SUM(W33:AA33)</f>
        <v>0</v>
      </c>
      <c r="W33" s="22"/>
      <c r="X33" s="22"/>
      <c r="Y33" s="22"/>
      <c r="Z33" s="22"/>
      <c r="AA33" s="22"/>
      <c r="AB33" s="22" t="n">
        <f aca="false">SUM(AC33:AF33)</f>
        <v>0</v>
      </c>
      <c r="AC33" s="22"/>
      <c r="AD33" s="22"/>
      <c r="AE33" s="22"/>
      <c r="AF33" s="22"/>
      <c r="AG33" s="21" t="n">
        <f aca="false">SUM(AH33:AK33)</f>
        <v>0</v>
      </c>
      <c r="AH33" s="22"/>
      <c r="AI33" s="22"/>
      <c r="AJ33" s="22"/>
      <c r="AK33" s="22"/>
      <c r="AL33" s="23" t="s">
        <v>216</v>
      </c>
      <c r="AM33" s="41" t="s">
        <v>26</v>
      </c>
      <c r="AN33" s="41"/>
      <c r="AO33" s="29" t="s">
        <v>224</v>
      </c>
      <c r="AP33" s="41" t="s">
        <v>225</v>
      </c>
      <c r="AQ33" s="29" t="s">
        <v>226</v>
      </c>
      <c r="AR33" s="29" t="s">
        <v>218</v>
      </c>
      <c r="AS33" s="29" t="s">
        <v>226</v>
      </c>
      <c r="AT33" s="29" t="s">
        <v>226</v>
      </c>
      <c r="AU33" s="42" t="s">
        <v>227</v>
      </c>
      <c r="AV33" s="29" t="s">
        <v>228</v>
      </c>
      <c r="AW33" s="43" t="s">
        <v>54</v>
      </c>
      <c r="AX33" s="44" t="s">
        <v>229</v>
      </c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</row>
    <row r="34" customFormat="false" ht="113.25" hidden="false" customHeight="true" outlineLevel="0" collapsed="false">
      <c r="A34" s="18" t="s">
        <v>230</v>
      </c>
      <c r="B34" s="19" t="s">
        <v>231</v>
      </c>
      <c r="C34" s="19" t="s">
        <v>41</v>
      </c>
      <c r="D34" s="19" t="s">
        <v>232</v>
      </c>
      <c r="E34" s="20" t="s">
        <v>233</v>
      </c>
      <c r="F34" s="19" t="s">
        <v>234</v>
      </c>
      <c r="G34" s="19" t="s">
        <v>235</v>
      </c>
      <c r="H34" s="19" t="s">
        <v>97</v>
      </c>
      <c r="I34" s="21" t="n">
        <f aca="false">J34+P34+V34+AB34+AG34</f>
        <v>19989.85514</v>
      </c>
      <c r="J34" s="21" t="n">
        <f aca="false">SUM(K34:O34)</f>
        <v>19989.85514</v>
      </c>
      <c r="K34" s="22"/>
      <c r="L34" s="22" t="n">
        <v>19969.86528</v>
      </c>
      <c r="M34" s="22" t="n">
        <f aca="false">27.09253-7.10267</f>
        <v>19.98986</v>
      </c>
      <c r="N34" s="22"/>
      <c r="O34" s="22"/>
      <c r="P34" s="22" t="n">
        <f aca="false">SUM(Q34:U34)</f>
        <v>0</v>
      </c>
      <c r="Q34" s="22"/>
      <c r="R34" s="22"/>
      <c r="S34" s="22"/>
      <c r="T34" s="22"/>
      <c r="U34" s="22"/>
      <c r="V34" s="22" t="n">
        <f aca="false">SUM(W34:AA34)</f>
        <v>0</v>
      </c>
      <c r="W34" s="22"/>
      <c r="X34" s="22"/>
      <c r="Y34" s="22"/>
      <c r="Z34" s="22"/>
      <c r="AA34" s="22"/>
      <c r="AB34" s="22" t="n">
        <f aca="false">SUM(AC34:AF34)</f>
        <v>0</v>
      </c>
      <c r="AC34" s="22"/>
      <c r="AD34" s="22"/>
      <c r="AE34" s="22"/>
      <c r="AF34" s="22"/>
      <c r="AG34" s="21" t="n">
        <f aca="false">SUM(AH34:AK34)</f>
        <v>0</v>
      </c>
      <c r="AH34" s="22"/>
      <c r="AI34" s="22"/>
      <c r="AJ34" s="22"/>
      <c r="AK34" s="22"/>
      <c r="AL34" s="19" t="s">
        <v>236</v>
      </c>
      <c r="AM34" s="19" t="s">
        <v>26</v>
      </c>
      <c r="AN34" s="19"/>
      <c r="AO34" s="19" t="s">
        <v>151</v>
      </c>
      <c r="AP34" s="19"/>
      <c r="AQ34" s="19" t="s">
        <v>97</v>
      </c>
      <c r="AR34" s="19" t="s">
        <v>41</v>
      </c>
      <c r="AS34" s="19" t="s">
        <v>237</v>
      </c>
      <c r="AT34" s="19" t="s">
        <v>237</v>
      </c>
      <c r="AU34" s="19"/>
      <c r="AV34" s="19" t="s">
        <v>155</v>
      </c>
      <c r="AW34" s="19" t="s">
        <v>161</v>
      </c>
      <c r="AX34" s="19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</row>
    <row r="35" customFormat="false" ht="102" hidden="false" customHeight="true" outlineLevel="0" collapsed="false">
      <c r="A35" s="18" t="s">
        <v>238</v>
      </c>
      <c r="B35" s="19" t="s">
        <v>231</v>
      </c>
      <c r="C35" s="19" t="s">
        <v>41</v>
      </c>
      <c r="D35" s="19" t="s">
        <v>232</v>
      </c>
      <c r="E35" s="20" t="s">
        <v>233</v>
      </c>
      <c r="F35" s="19" t="s">
        <v>234</v>
      </c>
      <c r="G35" s="19" t="s">
        <v>235</v>
      </c>
      <c r="H35" s="19" t="s">
        <v>239</v>
      </c>
      <c r="I35" s="21" t="n">
        <f aca="false">J35+P35+V35+AB35+AG35</f>
        <v>33964.38342</v>
      </c>
      <c r="J35" s="21" t="n">
        <f aca="false">SUM(K35:O35)</f>
        <v>33964.38342</v>
      </c>
      <c r="K35" s="22"/>
      <c r="L35" s="22" t="n">
        <v>33930.41904</v>
      </c>
      <c r="M35" s="22" t="n">
        <f aca="false">101.92149-98.52767+30.57056</f>
        <v>33.96438</v>
      </c>
      <c r="N35" s="22"/>
      <c r="O35" s="22"/>
      <c r="P35" s="22" t="n">
        <f aca="false">SUM(Q35:U35)</f>
        <v>0</v>
      </c>
      <c r="Q35" s="22"/>
      <c r="R35" s="22"/>
      <c r="S35" s="22"/>
      <c r="T35" s="22"/>
      <c r="U35" s="22"/>
      <c r="V35" s="22" t="n">
        <f aca="false">SUM(W35:AA35)</f>
        <v>0</v>
      </c>
      <c r="W35" s="22"/>
      <c r="X35" s="22"/>
      <c r="Y35" s="22"/>
      <c r="Z35" s="22"/>
      <c r="AA35" s="22"/>
      <c r="AB35" s="22" t="n">
        <f aca="false">SUM(AC35:AF35)</f>
        <v>0</v>
      </c>
      <c r="AC35" s="22"/>
      <c r="AD35" s="22"/>
      <c r="AE35" s="22"/>
      <c r="AF35" s="22"/>
      <c r="AG35" s="21" t="n">
        <f aca="false">SUM(AH35:AK35)</f>
        <v>0</v>
      </c>
      <c r="AH35" s="22"/>
      <c r="AI35" s="22"/>
      <c r="AJ35" s="22"/>
      <c r="AK35" s="22"/>
      <c r="AL35" s="19" t="s">
        <v>236</v>
      </c>
      <c r="AM35" s="19" t="s">
        <v>26</v>
      </c>
      <c r="AN35" s="19"/>
      <c r="AO35" s="19" t="s">
        <v>151</v>
      </c>
      <c r="AP35" s="19"/>
      <c r="AQ35" s="19" t="s">
        <v>240</v>
      </c>
      <c r="AR35" s="19" t="s">
        <v>41</v>
      </c>
      <c r="AS35" s="19" t="s">
        <v>241</v>
      </c>
      <c r="AT35" s="19" t="s">
        <v>241</v>
      </c>
      <c r="AU35" s="19"/>
      <c r="AV35" s="19" t="s">
        <v>155</v>
      </c>
      <c r="AW35" s="19" t="s">
        <v>161</v>
      </c>
      <c r="AX35" s="19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</row>
    <row r="36" customFormat="false" ht="99" hidden="false" customHeight="true" outlineLevel="0" collapsed="false">
      <c r="A36" s="18" t="s">
        <v>242</v>
      </c>
      <c r="B36" s="19" t="s">
        <v>231</v>
      </c>
      <c r="C36" s="19" t="s">
        <v>41</v>
      </c>
      <c r="D36" s="19" t="s">
        <v>232</v>
      </c>
      <c r="E36" s="20" t="s">
        <v>233</v>
      </c>
      <c r="F36" s="19" t="s">
        <v>234</v>
      </c>
      <c r="G36" s="19" t="s">
        <v>235</v>
      </c>
      <c r="H36" s="19" t="s">
        <v>113</v>
      </c>
      <c r="I36" s="21" t="n">
        <f aca="false">J36+P36+V36+AB36+AG36</f>
        <v>2491812.1435</v>
      </c>
      <c r="J36" s="21" t="n">
        <f aca="false">SUM(K36:O36)</f>
        <v>366325.79623</v>
      </c>
      <c r="K36" s="22"/>
      <c r="L36" s="22" t="n">
        <f aca="false">613221.72382-7084.376-100000-21490.14739-118687.73</f>
        <v>365959.47043</v>
      </c>
      <c r="M36" s="22" t="n">
        <f aca="false">1377.11276-7.09146-884.88896-118.80654</f>
        <v>366.3258</v>
      </c>
      <c r="N36" s="22"/>
      <c r="O36" s="22"/>
      <c r="P36" s="22" t="n">
        <f aca="false">SUM(Q36:U36)</f>
        <v>101824.34727</v>
      </c>
      <c r="Q36" s="22"/>
      <c r="R36" s="22" t="n">
        <f aca="false">534591.58091-50865.87-383725.71091</f>
        <v>100000</v>
      </c>
      <c r="S36" s="22" t="n">
        <f aca="false">1875.26405-50.91678</f>
        <v>1824.34727</v>
      </c>
      <c r="T36" s="22"/>
      <c r="U36" s="22"/>
      <c r="V36" s="22" t="n">
        <f aca="false">SUM(W36:AA36)</f>
        <v>0</v>
      </c>
      <c r="W36" s="22"/>
      <c r="X36" s="22" t="n">
        <f aca="false">590160.0536-590160.0536</f>
        <v>0</v>
      </c>
      <c r="Y36" s="22" t="n">
        <f aca="false">1940.32495-1940.32495</f>
        <v>0</v>
      </c>
      <c r="Z36" s="22"/>
      <c r="AA36" s="22"/>
      <c r="AB36" s="22" t="n">
        <f aca="false">SUM(AC36:AF36)</f>
        <v>2023662</v>
      </c>
      <c r="AC36" s="22"/>
      <c r="AD36" s="22" t="n">
        <v>601447.48335</v>
      </c>
      <c r="AE36" s="22" t="n">
        <v>2023.662</v>
      </c>
      <c r="AF36" s="22" t="n">
        <v>1420190.85465</v>
      </c>
      <c r="AG36" s="21" t="n">
        <f aca="false">SUM(AH36:AK36)</f>
        <v>0</v>
      </c>
      <c r="AH36" s="22"/>
      <c r="AI36" s="22"/>
      <c r="AJ36" s="22"/>
      <c r="AK36" s="22"/>
      <c r="AL36" s="19" t="s">
        <v>236</v>
      </c>
      <c r="AM36" s="19" t="s">
        <v>28</v>
      </c>
      <c r="AN36" s="19"/>
      <c r="AO36" s="19" t="s">
        <v>151</v>
      </c>
      <c r="AP36" s="19"/>
      <c r="AQ36" s="19" t="s">
        <v>113</v>
      </c>
      <c r="AR36" s="19" t="s">
        <v>41</v>
      </c>
      <c r="AS36" s="19" t="s">
        <v>153</v>
      </c>
      <c r="AT36" s="19" t="s">
        <v>153</v>
      </c>
      <c r="AU36" s="19"/>
      <c r="AV36" s="19" t="s">
        <v>155</v>
      </c>
      <c r="AW36" s="19" t="s">
        <v>161</v>
      </c>
      <c r="AX36" s="19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</row>
    <row r="37" customFormat="false" ht="89.25" hidden="false" customHeight="true" outlineLevel="0" collapsed="false">
      <c r="A37" s="18" t="s">
        <v>243</v>
      </c>
      <c r="B37" s="19" t="s">
        <v>231</v>
      </c>
      <c r="C37" s="19" t="s">
        <v>41</v>
      </c>
      <c r="D37" s="19" t="s">
        <v>232</v>
      </c>
      <c r="E37" s="20" t="s">
        <v>233</v>
      </c>
      <c r="F37" s="19" t="s">
        <v>234</v>
      </c>
      <c r="G37" s="19" t="s">
        <v>235</v>
      </c>
      <c r="H37" s="19" t="s">
        <v>244</v>
      </c>
      <c r="I37" s="21" t="n">
        <f aca="false">J37+P37+V37+AB37+AG37</f>
        <v>238259.16433</v>
      </c>
      <c r="J37" s="21" t="n">
        <f aca="false">SUM(K37:O37)</f>
        <v>137533.97984</v>
      </c>
      <c r="K37" s="22"/>
      <c r="L37" s="22" t="n">
        <f aca="false">6370.10028+7839.26246+118687.73</f>
        <v>132897.09274</v>
      </c>
      <c r="M37" s="45" t="n">
        <f aca="false">6.37648+12.35096+118.80653</f>
        <v>137.53397</v>
      </c>
      <c r="N37" s="22" t="n">
        <f aca="false">0+4499.35313</f>
        <v>4499.35313</v>
      </c>
      <c r="O37" s="22"/>
      <c r="P37" s="22" t="n">
        <f aca="false">SUM(Q37:U37)</f>
        <v>100725.18449</v>
      </c>
      <c r="Q37" s="22"/>
      <c r="R37" s="22" t="n">
        <f aca="false">49758.58931+50865.87</f>
        <v>100624.45931</v>
      </c>
      <c r="S37" s="45" t="n">
        <f aca="false">49.8084+50.91678</f>
        <v>100.72518</v>
      </c>
      <c r="T37" s="22"/>
      <c r="U37" s="22"/>
      <c r="V37" s="22" t="n">
        <f aca="false">SUM(W37:AA37)</f>
        <v>0</v>
      </c>
      <c r="W37" s="22"/>
      <c r="X37" s="22"/>
      <c r="Y37" s="22"/>
      <c r="Z37" s="22"/>
      <c r="AA37" s="22"/>
      <c r="AB37" s="22" t="n">
        <f aca="false">SUM(AC37:AF37)</f>
        <v>0</v>
      </c>
      <c r="AC37" s="22"/>
      <c r="AD37" s="22"/>
      <c r="AE37" s="22"/>
      <c r="AF37" s="22"/>
      <c r="AG37" s="21" t="n">
        <f aca="false">SUM(AH37:AK37)</f>
        <v>0</v>
      </c>
      <c r="AH37" s="22"/>
      <c r="AI37" s="22"/>
      <c r="AJ37" s="22"/>
      <c r="AK37" s="22"/>
      <c r="AL37" s="19" t="s">
        <v>236</v>
      </c>
      <c r="AM37" s="19" t="s">
        <v>28</v>
      </c>
      <c r="AN37" s="19"/>
      <c r="AO37" s="19" t="s">
        <v>151</v>
      </c>
      <c r="AP37" s="19"/>
      <c r="AQ37" s="19" t="s">
        <v>244</v>
      </c>
      <c r="AR37" s="19" t="s">
        <v>41</v>
      </c>
      <c r="AS37" s="19" t="s">
        <v>245</v>
      </c>
      <c r="AT37" s="19" t="s">
        <v>246</v>
      </c>
      <c r="AU37" s="19"/>
      <c r="AV37" s="19" t="s">
        <v>155</v>
      </c>
      <c r="AW37" s="19" t="s">
        <v>161</v>
      </c>
      <c r="AX37" s="19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</row>
    <row r="38" customFormat="false" ht="89.25" hidden="false" customHeight="true" outlineLevel="0" collapsed="false">
      <c r="A38" s="18" t="s">
        <v>247</v>
      </c>
      <c r="B38" s="19" t="s">
        <v>231</v>
      </c>
      <c r="C38" s="19" t="s">
        <v>41</v>
      </c>
      <c r="D38" s="19" t="s">
        <v>232</v>
      </c>
      <c r="E38" s="20" t="s">
        <v>233</v>
      </c>
      <c r="F38" s="19" t="s">
        <v>234</v>
      </c>
      <c r="G38" s="19" t="s">
        <v>235</v>
      </c>
      <c r="H38" s="19" t="s">
        <v>248</v>
      </c>
      <c r="I38" s="21" t="n">
        <f aca="false">J38+P38+V38+AB38+AG38</f>
        <v>3990.99999</v>
      </c>
      <c r="J38" s="21" t="n">
        <f aca="false">SUM(K38:O38)</f>
        <v>3990.99999</v>
      </c>
      <c r="K38" s="22"/>
      <c r="L38" s="22"/>
      <c r="M38" s="45" t="n">
        <v>3.99099</v>
      </c>
      <c r="N38" s="22" t="n">
        <v>3987.009</v>
      </c>
      <c r="O38" s="22"/>
      <c r="P38" s="22" t="n">
        <f aca="false">SUM(Q38:U38)</f>
        <v>0</v>
      </c>
      <c r="Q38" s="22"/>
      <c r="R38" s="22"/>
      <c r="S38" s="45"/>
      <c r="T38" s="22"/>
      <c r="U38" s="22"/>
      <c r="V38" s="22" t="n">
        <f aca="false">SUM(W38:AA38)</f>
        <v>0</v>
      </c>
      <c r="W38" s="22"/>
      <c r="X38" s="22"/>
      <c r="Y38" s="22"/>
      <c r="Z38" s="22"/>
      <c r="AA38" s="22"/>
      <c r="AB38" s="22" t="n">
        <f aca="false">SUM(AC38:AF38)</f>
        <v>0</v>
      </c>
      <c r="AC38" s="22"/>
      <c r="AD38" s="22"/>
      <c r="AE38" s="22"/>
      <c r="AF38" s="22"/>
      <c r="AG38" s="21" t="n">
        <f aca="false">SUM(AH38:AK38)</f>
        <v>0</v>
      </c>
      <c r="AH38" s="22"/>
      <c r="AI38" s="22"/>
      <c r="AJ38" s="22"/>
      <c r="AK38" s="22"/>
      <c r="AL38" s="19" t="s">
        <v>236</v>
      </c>
      <c r="AM38" s="19" t="s">
        <v>25</v>
      </c>
      <c r="AN38" s="19"/>
      <c r="AO38" s="19" t="s">
        <v>151</v>
      </c>
      <c r="AP38" s="19"/>
      <c r="AQ38" s="19" t="s">
        <v>248</v>
      </c>
      <c r="AR38" s="19" t="s">
        <v>41</v>
      </c>
      <c r="AS38" s="19" t="s">
        <v>249</v>
      </c>
      <c r="AT38" s="19" t="s">
        <v>249</v>
      </c>
      <c r="AU38" s="19"/>
      <c r="AV38" s="19" t="s">
        <v>155</v>
      </c>
      <c r="AW38" s="19" t="s">
        <v>161</v>
      </c>
      <c r="AX38" s="19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</row>
    <row r="39" customFormat="false" ht="89.25" hidden="false" customHeight="true" outlineLevel="0" collapsed="false">
      <c r="A39" s="18" t="s">
        <v>250</v>
      </c>
      <c r="B39" s="19" t="s">
        <v>231</v>
      </c>
      <c r="C39" s="19" t="s">
        <v>41</v>
      </c>
      <c r="D39" s="19" t="s">
        <v>232</v>
      </c>
      <c r="E39" s="20" t="s">
        <v>233</v>
      </c>
      <c r="F39" s="19" t="s">
        <v>234</v>
      </c>
      <c r="G39" s="19" t="s">
        <v>235</v>
      </c>
      <c r="H39" s="19" t="s">
        <v>251</v>
      </c>
      <c r="I39" s="21" t="n">
        <f aca="false">J39+P39+V39+AB39+AG39</f>
        <v>9862.55843</v>
      </c>
      <c r="J39" s="21" t="n">
        <f aca="false">SUM(K39:O39)</f>
        <v>9862.55843</v>
      </c>
      <c r="K39" s="22"/>
      <c r="L39" s="22" t="n">
        <v>9852.69588</v>
      </c>
      <c r="M39" s="45" t="n">
        <v>9.86255</v>
      </c>
      <c r="N39" s="22"/>
      <c r="O39" s="22"/>
      <c r="P39" s="22" t="n">
        <f aca="false">SUM(Q39:U39)</f>
        <v>0</v>
      </c>
      <c r="Q39" s="22"/>
      <c r="R39" s="22"/>
      <c r="S39" s="45"/>
      <c r="T39" s="22"/>
      <c r="U39" s="22"/>
      <c r="V39" s="22" t="n">
        <f aca="false">SUM(W39:AA39)</f>
        <v>0</v>
      </c>
      <c r="W39" s="22"/>
      <c r="X39" s="22"/>
      <c r="Y39" s="22"/>
      <c r="Z39" s="22"/>
      <c r="AA39" s="22"/>
      <c r="AB39" s="22" t="n">
        <f aca="false">SUM(AC39:AF39)</f>
        <v>0</v>
      </c>
      <c r="AC39" s="22"/>
      <c r="AD39" s="22"/>
      <c r="AE39" s="22"/>
      <c r="AF39" s="22"/>
      <c r="AG39" s="21" t="n">
        <f aca="false">SUM(AH39:AK39)</f>
        <v>0</v>
      </c>
      <c r="AH39" s="22"/>
      <c r="AI39" s="22"/>
      <c r="AJ39" s="22"/>
      <c r="AK39" s="22"/>
      <c r="AL39" s="19" t="s">
        <v>236</v>
      </c>
      <c r="AM39" s="19" t="s">
        <v>25</v>
      </c>
      <c r="AN39" s="19"/>
      <c r="AO39" s="19" t="s">
        <v>151</v>
      </c>
      <c r="AP39" s="19"/>
      <c r="AQ39" s="19" t="s">
        <v>251</v>
      </c>
      <c r="AR39" s="19" t="s">
        <v>41</v>
      </c>
      <c r="AS39" s="19" t="s">
        <v>252</v>
      </c>
      <c r="AT39" s="19" t="s">
        <v>252</v>
      </c>
      <c r="AU39" s="19"/>
      <c r="AV39" s="19" t="s">
        <v>155</v>
      </c>
      <c r="AW39" s="19" t="s">
        <v>161</v>
      </c>
      <c r="AX39" s="19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</row>
    <row r="40" customFormat="false" ht="89.25" hidden="false" customHeight="true" outlineLevel="0" collapsed="false">
      <c r="A40" s="18" t="s">
        <v>253</v>
      </c>
      <c r="B40" s="19" t="s">
        <v>231</v>
      </c>
      <c r="C40" s="19" t="s">
        <v>41</v>
      </c>
      <c r="D40" s="19" t="s">
        <v>232</v>
      </c>
      <c r="E40" s="20" t="s">
        <v>233</v>
      </c>
      <c r="F40" s="19" t="s">
        <v>234</v>
      </c>
      <c r="G40" s="19" t="s">
        <v>235</v>
      </c>
      <c r="H40" s="19" t="s">
        <v>254</v>
      </c>
      <c r="I40" s="21" t="n">
        <f aca="false">J40+P40+V40+AB40+AG40</f>
        <v>7259.1523</v>
      </c>
      <c r="J40" s="21" t="n">
        <f aca="false">SUM(K40:O40)</f>
        <v>7259.1523</v>
      </c>
      <c r="K40" s="22"/>
      <c r="L40" s="22" t="n">
        <v>3798.18905</v>
      </c>
      <c r="M40" s="45" t="n">
        <v>7.25915</v>
      </c>
      <c r="N40" s="22" t="n">
        <v>3453.7041</v>
      </c>
      <c r="O40" s="22"/>
      <c r="P40" s="22" t="n">
        <f aca="false">SUM(Q40:U40)</f>
        <v>0</v>
      </c>
      <c r="Q40" s="22"/>
      <c r="R40" s="22"/>
      <c r="S40" s="45"/>
      <c r="T40" s="22"/>
      <c r="U40" s="22"/>
      <c r="V40" s="22" t="n">
        <f aca="false">SUM(W40:AA40)</f>
        <v>0</v>
      </c>
      <c r="W40" s="22"/>
      <c r="X40" s="22"/>
      <c r="Y40" s="22"/>
      <c r="Z40" s="22"/>
      <c r="AA40" s="22"/>
      <c r="AB40" s="22" t="n">
        <f aca="false">SUM(AC40:AF40)</f>
        <v>0</v>
      </c>
      <c r="AC40" s="22"/>
      <c r="AD40" s="22"/>
      <c r="AE40" s="22"/>
      <c r="AF40" s="22"/>
      <c r="AG40" s="21" t="n">
        <f aca="false">SUM(AH40:AK40)</f>
        <v>0</v>
      </c>
      <c r="AH40" s="22"/>
      <c r="AI40" s="22"/>
      <c r="AJ40" s="22"/>
      <c r="AK40" s="22"/>
      <c r="AL40" s="19" t="s">
        <v>236</v>
      </c>
      <c r="AM40" s="19" t="s">
        <v>25</v>
      </c>
      <c r="AN40" s="19"/>
      <c r="AO40" s="19" t="s">
        <v>151</v>
      </c>
      <c r="AP40" s="19"/>
      <c r="AQ40" s="19" t="s">
        <v>255</v>
      </c>
      <c r="AR40" s="19" t="s">
        <v>41</v>
      </c>
      <c r="AS40" s="19" t="s">
        <v>256</v>
      </c>
      <c r="AT40" s="19" t="s">
        <v>256</v>
      </c>
      <c r="AU40" s="19"/>
      <c r="AV40" s="19" t="s">
        <v>155</v>
      </c>
      <c r="AW40" s="19" t="s">
        <v>161</v>
      </c>
      <c r="AX40" s="19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</row>
    <row r="41" customFormat="false" ht="89.25" hidden="false" customHeight="true" outlineLevel="0" collapsed="false">
      <c r="A41" s="18" t="s">
        <v>257</v>
      </c>
      <c r="B41" s="19" t="s">
        <v>231</v>
      </c>
      <c r="C41" s="19" t="s">
        <v>41</v>
      </c>
      <c r="D41" s="19" t="s">
        <v>232</v>
      </c>
      <c r="E41" s="20" t="s">
        <v>233</v>
      </c>
      <c r="F41" s="19" t="s">
        <v>234</v>
      </c>
      <c r="G41" s="19" t="s">
        <v>235</v>
      </c>
      <c r="H41" s="19" t="s">
        <v>58</v>
      </c>
      <c r="I41" s="21" t="n">
        <f aca="false">J41+P41+V41+AB41+AG41</f>
        <v>3946.40166</v>
      </c>
      <c r="J41" s="21" t="n">
        <f aca="false">SUM(K41:O41)</f>
        <v>3946.40166</v>
      </c>
      <c r="K41" s="22"/>
      <c r="L41" s="22"/>
      <c r="M41" s="45" t="n">
        <v>3.9464</v>
      </c>
      <c r="N41" s="22" t="n">
        <v>3942.45526</v>
      </c>
      <c r="O41" s="22"/>
      <c r="P41" s="22" t="n">
        <f aca="false">SUM(Q41:U41)</f>
        <v>0</v>
      </c>
      <c r="Q41" s="22"/>
      <c r="R41" s="22"/>
      <c r="S41" s="45"/>
      <c r="T41" s="22"/>
      <c r="U41" s="22"/>
      <c r="V41" s="22" t="n">
        <f aca="false">SUM(W41:AA41)</f>
        <v>0</v>
      </c>
      <c r="W41" s="22"/>
      <c r="X41" s="22"/>
      <c r="Y41" s="22"/>
      <c r="Z41" s="22"/>
      <c r="AA41" s="22"/>
      <c r="AB41" s="22" t="n">
        <f aca="false">SUM(AC41:AF41)</f>
        <v>0</v>
      </c>
      <c r="AC41" s="22"/>
      <c r="AD41" s="22"/>
      <c r="AE41" s="22"/>
      <c r="AF41" s="22"/>
      <c r="AG41" s="21" t="n">
        <f aca="false">SUM(AH41:AK41)</f>
        <v>0</v>
      </c>
      <c r="AH41" s="22"/>
      <c r="AI41" s="22"/>
      <c r="AJ41" s="22"/>
      <c r="AK41" s="22"/>
      <c r="AL41" s="19" t="s">
        <v>236</v>
      </c>
      <c r="AM41" s="19" t="s">
        <v>25</v>
      </c>
      <c r="AN41" s="19"/>
      <c r="AO41" s="19" t="s">
        <v>151</v>
      </c>
      <c r="AP41" s="19"/>
      <c r="AQ41" s="19" t="s">
        <v>58</v>
      </c>
      <c r="AR41" s="19" t="s">
        <v>41</v>
      </c>
      <c r="AS41" s="19" t="s">
        <v>258</v>
      </c>
      <c r="AT41" s="19" t="s">
        <v>258</v>
      </c>
      <c r="AU41" s="19"/>
      <c r="AV41" s="19" t="s">
        <v>155</v>
      </c>
      <c r="AW41" s="19" t="s">
        <v>161</v>
      </c>
      <c r="AX41" s="19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</row>
    <row r="42" customFormat="false" ht="87.75" hidden="false" customHeight="true" outlineLevel="0" collapsed="false">
      <c r="A42" s="18" t="s">
        <v>259</v>
      </c>
      <c r="B42" s="19" t="s">
        <v>231</v>
      </c>
      <c r="C42" s="19" t="s">
        <v>41</v>
      </c>
      <c r="D42" s="19" t="s">
        <v>260</v>
      </c>
      <c r="E42" s="20" t="s">
        <v>233</v>
      </c>
      <c r="F42" s="19" t="s">
        <v>234</v>
      </c>
      <c r="G42" s="19" t="s">
        <v>261</v>
      </c>
      <c r="H42" s="19" t="s">
        <v>262</v>
      </c>
      <c r="I42" s="21" t="n">
        <f aca="false">J42+P42+V42+AB42+AG42</f>
        <v>264200</v>
      </c>
      <c r="J42" s="21" t="n">
        <f aca="false">SUM(K42:O42)</f>
        <v>264200</v>
      </c>
      <c r="K42" s="22" t="n">
        <v>100000</v>
      </c>
      <c r="L42" s="30" t="n">
        <f aca="false">64200+100000</f>
        <v>164200</v>
      </c>
      <c r="M42" s="22"/>
      <c r="N42" s="22"/>
      <c r="O42" s="22"/>
      <c r="P42" s="22" t="n">
        <f aca="false">SUM(Q42:U42)</f>
        <v>0</v>
      </c>
      <c r="Q42" s="22"/>
      <c r="R42" s="22"/>
      <c r="S42" s="22"/>
      <c r="T42" s="22"/>
      <c r="U42" s="22"/>
      <c r="V42" s="22" t="n">
        <f aca="false">SUM(W42:AA42)</f>
        <v>0</v>
      </c>
      <c r="W42" s="22"/>
      <c r="X42" s="22"/>
      <c r="Y42" s="22"/>
      <c r="Z42" s="22"/>
      <c r="AA42" s="22"/>
      <c r="AB42" s="22" t="n">
        <f aca="false">SUM(AC42:AF42)</f>
        <v>0</v>
      </c>
      <c r="AC42" s="22"/>
      <c r="AD42" s="22"/>
      <c r="AE42" s="22"/>
      <c r="AF42" s="22"/>
      <c r="AG42" s="21" t="n">
        <f aca="false">SUM(AH42:AK42)</f>
        <v>0</v>
      </c>
      <c r="AH42" s="22"/>
      <c r="AI42" s="22"/>
      <c r="AJ42" s="22"/>
      <c r="AK42" s="22"/>
      <c r="AL42" s="19" t="s">
        <v>263</v>
      </c>
      <c r="AM42" s="19" t="s">
        <v>25</v>
      </c>
      <c r="AN42" s="19"/>
      <c r="AO42" s="19" t="s">
        <v>48</v>
      </c>
      <c r="AP42" s="19" t="s">
        <v>264</v>
      </c>
      <c r="AQ42" s="19" t="s">
        <v>50</v>
      </c>
      <c r="AR42" s="19" t="s">
        <v>41</v>
      </c>
      <c r="AS42" s="19" t="s">
        <v>41</v>
      </c>
      <c r="AT42" s="19" t="s">
        <v>50</v>
      </c>
      <c r="AU42" s="23" t="s">
        <v>265</v>
      </c>
      <c r="AV42" s="19" t="s">
        <v>53</v>
      </c>
      <c r="AW42" s="19" t="s">
        <v>54</v>
      </c>
      <c r="AX42" s="25" t="s">
        <v>266</v>
      </c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</row>
    <row r="43" customFormat="false" ht="88.5" hidden="false" customHeight="true" outlineLevel="0" collapsed="false">
      <c r="A43" s="18" t="s">
        <v>267</v>
      </c>
      <c r="B43" s="19" t="s">
        <v>231</v>
      </c>
      <c r="C43" s="19" t="s">
        <v>41</v>
      </c>
      <c r="D43" s="19" t="s">
        <v>232</v>
      </c>
      <c r="E43" s="20" t="s">
        <v>233</v>
      </c>
      <c r="F43" s="19" t="s">
        <v>234</v>
      </c>
      <c r="G43" s="29" t="s">
        <v>268</v>
      </c>
      <c r="H43" s="46" t="s">
        <v>113</v>
      </c>
      <c r="I43" s="21" t="n">
        <f aca="false">J43+P43+V43+AB43+AG43</f>
        <v>2265</v>
      </c>
      <c r="J43" s="47" t="n">
        <f aca="false">SUM(K43:O43)</f>
        <v>2265</v>
      </c>
      <c r="K43" s="47"/>
      <c r="L43" s="47"/>
      <c r="M43" s="47" t="n">
        <v>2.265</v>
      </c>
      <c r="N43" s="47" t="n">
        <v>2262.735</v>
      </c>
      <c r="O43" s="41"/>
      <c r="P43" s="22" t="n">
        <f aca="false">SUM(Q43:U43)</f>
        <v>0</v>
      </c>
      <c r="Q43" s="22"/>
      <c r="R43" s="22"/>
      <c r="S43" s="22"/>
      <c r="T43" s="22"/>
      <c r="U43" s="22"/>
      <c r="V43" s="22" t="n">
        <f aca="false">SUM(W43:AA43)</f>
        <v>0</v>
      </c>
      <c r="W43" s="22"/>
      <c r="X43" s="22"/>
      <c r="Y43" s="22"/>
      <c r="Z43" s="22"/>
      <c r="AA43" s="22"/>
      <c r="AB43" s="22" t="n">
        <f aca="false">SUM(AC43:AF43)</f>
        <v>0</v>
      </c>
      <c r="AC43" s="22"/>
      <c r="AD43" s="22"/>
      <c r="AE43" s="22"/>
      <c r="AF43" s="22"/>
      <c r="AG43" s="21" t="n">
        <f aca="false">SUM(AH43:AK43)</f>
        <v>0</v>
      </c>
      <c r="AH43" s="22"/>
      <c r="AI43" s="22"/>
      <c r="AJ43" s="22"/>
      <c r="AK43" s="22"/>
      <c r="AL43" s="19" t="s">
        <v>236</v>
      </c>
      <c r="AM43" s="41" t="s">
        <v>25</v>
      </c>
      <c r="AN43" s="41"/>
      <c r="AO43" s="29" t="s">
        <v>151</v>
      </c>
      <c r="AP43" s="41"/>
      <c r="AQ43" s="29" t="s">
        <v>113</v>
      </c>
      <c r="AR43" s="29" t="s">
        <v>269</v>
      </c>
      <c r="AS43" s="29" t="s">
        <v>153</v>
      </c>
      <c r="AT43" s="29" t="s">
        <v>153</v>
      </c>
      <c r="AU43" s="41"/>
      <c r="AV43" s="29" t="s">
        <v>155</v>
      </c>
      <c r="AW43" s="29" t="s">
        <v>161</v>
      </c>
      <c r="AX43" s="41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</row>
    <row r="44" customFormat="false" ht="148.15" hidden="false" customHeight="true" outlineLevel="0" collapsed="false">
      <c r="A44" s="18" t="s">
        <v>270</v>
      </c>
      <c r="B44" s="19" t="s">
        <v>231</v>
      </c>
      <c r="C44" s="15" t="s">
        <v>158</v>
      </c>
      <c r="D44" s="15" t="s">
        <v>271</v>
      </c>
      <c r="E44" s="18" t="s">
        <v>233</v>
      </c>
      <c r="F44" s="29" t="s">
        <v>272</v>
      </c>
      <c r="G44" s="15" t="s">
        <v>273</v>
      </c>
      <c r="H44" s="15" t="s">
        <v>274</v>
      </c>
      <c r="I44" s="21" t="n">
        <f aca="false">J44+P44+V44+AB44+AG44</f>
        <v>721926.43615</v>
      </c>
      <c r="J44" s="21" t="n">
        <f aca="false">SUM(K44:O44)</f>
        <v>9926.43615</v>
      </c>
      <c r="K44" s="21"/>
      <c r="L44" s="21" t="n">
        <f aca="false">13100-3173.56385</f>
        <v>9926.43615</v>
      </c>
      <c r="M44" s="21"/>
      <c r="N44" s="21"/>
      <c r="O44" s="21"/>
      <c r="P44" s="22" t="n">
        <f aca="false">SUM(Q44:U44)</f>
        <v>197750</v>
      </c>
      <c r="Q44" s="21"/>
      <c r="R44" s="21" t="n">
        <v>197750</v>
      </c>
      <c r="S44" s="21"/>
      <c r="T44" s="21"/>
      <c r="U44" s="21"/>
      <c r="V44" s="22" t="n">
        <f aca="false">SUM(W44:AA44)</f>
        <v>197750</v>
      </c>
      <c r="W44" s="21"/>
      <c r="X44" s="21" t="n">
        <v>197750</v>
      </c>
      <c r="Y44" s="21"/>
      <c r="Z44" s="21"/>
      <c r="AA44" s="21"/>
      <c r="AB44" s="22" t="n">
        <f aca="false">SUM(AC44:AF44)</f>
        <v>197750</v>
      </c>
      <c r="AC44" s="21"/>
      <c r="AD44" s="21" t="n">
        <v>197750</v>
      </c>
      <c r="AE44" s="21"/>
      <c r="AF44" s="21"/>
      <c r="AG44" s="21" t="n">
        <f aca="false">SUM(AH44:AK44)</f>
        <v>118750</v>
      </c>
      <c r="AH44" s="21"/>
      <c r="AI44" s="21" t="n">
        <v>118750</v>
      </c>
      <c r="AJ44" s="21"/>
      <c r="AK44" s="21"/>
      <c r="AL44" s="15" t="s">
        <v>275</v>
      </c>
      <c r="AM44" s="48" t="s">
        <v>29</v>
      </c>
      <c r="AN44" s="48"/>
      <c r="AO44" s="15" t="s">
        <v>276</v>
      </c>
      <c r="AP44" s="48"/>
      <c r="AQ44" s="15" t="s">
        <v>158</v>
      </c>
      <c r="AR44" s="29" t="s">
        <v>41</v>
      </c>
      <c r="AS44" s="15" t="s">
        <v>158</v>
      </c>
      <c r="AT44" s="15" t="s">
        <v>158</v>
      </c>
      <c r="AU44" s="48"/>
      <c r="AV44" s="19" t="s">
        <v>53</v>
      </c>
      <c r="AW44" s="15" t="s">
        <v>161</v>
      </c>
      <c r="AX44" s="48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</row>
    <row r="45" customFormat="false" ht="114" hidden="false" customHeight="true" outlineLevel="0" collapsed="false">
      <c r="A45" s="18" t="s">
        <v>277</v>
      </c>
      <c r="B45" s="15" t="s">
        <v>278</v>
      </c>
      <c r="C45" s="15" t="s">
        <v>279</v>
      </c>
      <c r="D45" s="31" t="s">
        <v>280</v>
      </c>
      <c r="E45" s="18" t="s">
        <v>281</v>
      </c>
      <c r="F45" s="49" t="s">
        <v>282</v>
      </c>
      <c r="G45" s="15" t="s">
        <v>283</v>
      </c>
      <c r="H45" s="15" t="s">
        <v>284</v>
      </c>
      <c r="I45" s="21" t="n">
        <f aca="false">J45+P45+V45+AB45+AG45</f>
        <v>282737.28</v>
      </c>
      <c r="J45" s="21" t="n">
        <f aca="false">SUM(K45:O45)</f>
        <v>282737.28</v>
      </c>
      <c r="K45" s="21"/>
      <c r="L45" s="21" t="n">
        <f aca="false">221310+61427.28</f>
        <v>282737.28</v>
      </c>
      <c r="M45" s="21"/>
      <c r="N45" s="21"/>
      <c r="O45" s="21"/>
      <c r="P45" s="22" t="n">
        <f aca="false">SUM(Q45:U45)</f>
        <v>0</v>
      </c>
      <c r="Q45" s="21"/>
      <c r="R45" s="21"/>
      <c r="S45" s="21"/>
      <c r="T45" s="21"/>
      <c r="U45" s="21"/>
      <c r="V45" s="22" t="n">
        <f aca="false">SUM(W45:AA45)</f>
        <v>0</v>
      </c>
      <c r="W45" s="21"/>
      <c r="X45" s="21"/>
      <c r="Y45" s="21"/>
      <c r="Z45" s="21"/>
      <c r="AA45" s="21"/>
      <c r="AB45" s="22" t="n">
        <f aca="false">SUM(AC45:AF45)</f>
        <v>0</v>
      </c>
      <c r="AC45" s="21"/>
      <c r="AD45" s="21"/>
      <c r="AE45" s="21"/>
      <c r="AF45" s="21"/>
      <c r="AG45" s="21" t="n">
        <f aca="false">SUM(AH45:AK45)</f>
        <v>0</v>
      </c>
      <c r="AH45" s="21"/>
      <c r="AI45" s="21"/>
      <c r="AJ45" s="21"/>
      <c r="AK45" s="21"/>
      <c r="AL45" s="15" t="s">
        <v>285</v>
      </c>
      <c r="AM45" s="31" t="s">
        <v>25</v>
      </c>
      <c r="AN45" s="15"/>
      <c r="AO45" s="15" t="s">
        <v>286</v>
      </c>
      <c r="AP45" s="15"/>
      <c r="AQ45" s="15" t="s">
        <v>287</v>
      </c>
      <c r="AR45" s="31" t="s">
        <v>288</v>
      </c>
      <c r="AS45" s="15" t="s">
        <v>287</v>
      </c>
      <c r="AT45" s="15" t="s">
        <v>287</v>
      </c>
      <c r="AU45" s="28" t="s">
        <v>289</v>
      </c>
      <c r="AV45" s="19" t="s">
        <v>53</v>
      </c>
      <c r="AW45" s="15" t="s">
        <v>290</v>
      </c>
      <c r="AX45" s="29" t="s">
        <v>291</v>
      </c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</row>
    <row r="46" customFormat="false" ht="111.75" hidden="false" customHeight="true" outlineLevel="0" collapsed="false">
      <c r="A46" s="18" t="s">
        <v>292</v>
      </c>
      <c r="B46" s="15" t="s">
        <v>278</v>
      </c>
      <c r="C46" s="15" t="s">
        <v>279</v>
      </c>
      <c r="D46" s="31" t="s">
        <v>293</v>
      </c>
      <c r="E46" s="18" t="s">
        <v>281</v>
      </c>
      <c r="F46" s="49" t="s">
        <v>282</v>
      </c>
      <c r="G46" s="17" t="s">
        <v>294</v>
      </c>
      <c r="H46" s="17" t="s">
        <v>284</v>
      </c>
      <c r="I46" s="21" t="n">
        <f aca="false">J46+P46+V46+AB46+AG46</f>
        <v>288730.17351</v>
      </c>
      <c r="J46" s="21" t="n">
        <f aca="false">SUM(K46:O46)</f>
        <v>288730.17351</v>
      </c>
      <c r="K46" s="21" t="n">
        <f aca="false">43302.6-43302.6+2676.21471+230279.35533</f>
        <v>232955.57004</v>
      </c>
      <c r="L46" s="21" t="n">
        <v>50000</v>
      </c>
      <c r="M46" s="21" t="n">
        <f aca="false">4691.02675-3616.00196+4699.57868</f>
        <v>5774.60347</v>
      </c>
      <c r="N46" s="21"/>
      <c r="O46" s="21"/>
      <c r="P46" s="22" t="n">
        <f aca="false">SUM(Q46:U46)</f>
        <v>0</v>
      </c>
      <c r="Q46" s="21" t="n">
        <f aca="false">89812-89812</f>
        <v>0</v>
      </c>
      <c r="R46" s="21" t="n">
        <f aca="false">179860.31086-179860.31086</f>
        <v>0</v>
      </c>
      <c r="S46" s="21"/>
      <c r="T46" s="21"/>
      <c r="U46" s="21"/>
      <c r="V46" s="22" t="n">
        <f aca="false">SUM(W46:AA46)</f>
        <v>0</v>
      </c>
      <c r="W46" s="21"/>
      <c r="X46" s="21"/>
      <c r="Y46" s="21"/>
      <c r="Z46" s="21"/>
      <c r="AA46" s="21"/>
      <c r="AB46" s="22" t="n">
        <f aca="false">SUM(AC46:AF46)</f>
        <v>0</v>
      </c>
      <c r="AC46" s="21"/>
      <c r="AD46" s="21"/>
      <c r="AE46" s="21"/>
      <c r="AF46" s="21"/>
      <c r="AG46" s="21" t="n">
        <f aca="false">SUM(AH46:AK46)</f>
        <v>0</v>
      </c>
      <c r="AH46" s="21"/>
      <c r="AI46" s="21"/>
      <c r="AJ46" s="21"/>
      <c r="AK46" s="21"/>
      <c r="AL46" s="17" t="s">
        <v>295</v>
      </c>
      <c r="AM46" s="31" t="s">
        <v>25</v>
      </c>
      <c r="AN46" s="17"/>
      <c r="AO46" s="15" t="s">
        <v>151</v>
      </c>
      <c r="AP46" s="17" t="s">
        <v>296</v>
      </c>
      <c r="AQ46" s="17" t="s">
        <v>251</v>
      </c>
      <c r="AR46" s="31" t="s">
        <v>288</v>
      </c>
      <c r="AS46" s="17" t="s">
        <v>252</v>
      </c>
      <c r="AT46" s="17" t="s">
        <v>252</v>
      </c>
      <c r="AU46" s="28" t="s">
        <v>297</v>
      </c>
      <c r="AV46" s="15" t="s">
        <v>155</v>
      </c>
      <c r="AW46" s="17" t="s">
        <v>54</v>
      </c>
      <c r="AX46" s="29" t="s">
        <v>298</v>
      </c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</row>
    <row r="47" customFormat="false" ht="111.75" hidden="false" customHeight="true" outlineLevel="0" collapsed="false">
      <c r="A47" s="18" t="s">
        <v>299</v>
      </c>
      <c r="B47" s="15" t="s">
        <v>278</v>
      </c>
      <c r="C47" s="15" t="s">
        <v>279</v>
      </c>
      <c r="D47" s="34" t="s">
        <v>300</v>
      </c>
      <c r="E47" s="17" t="s">
        <v>301</v>
      </c>
      <c r="F47" s="17" t="s">
        <v>302</v>
      </c>
      <c r="G47" s="17" t="s">
        <v>303</v>
      </c>
      <c r="H47" s="15" t="s">
        <v>113</v>
      </c>
      <c r="I47" s="21" t="n">
        <f aca="false">J47+P47+V47+AB47+AG47</f>
        <v>9187543.9</v>
      </c>
      <c r="J47" s="21" t="n">
        <f aca="false">SUM(K47:O47)</f>
        <v>9187543.9</v>
      </c>
      <c r="K47" s="21" t="n">
        <v>8000000</v>
      </c>
      <c r="L47" s="21" t="n">
        <f aca="false">605000+582543.9</f>
        <v>1187543.9</v>
      </c>
      <c r="M47" s="28"/>
      <c r="N47" s="28"/>
      <c r="O47" s="28"/>
      <c r="P47" s="22" t="n">
        <f aca="false">SUM(Q47:U47)</f>
        <v>0</v>
      </c>
      <c r="Q47" s="28"/>
      <c r="R47" s="21"/>
      <c r="S47" s="28"/>
      <c r="T47" s="28"/>
      <c r="U47" s="28"/>
      <c r="V47" s="22" t="n">
        <f aca="false">SUM(W47:AA47)</f>
        <v>0</v>
      </c>
      <c r="W47" s="28"/>
      <c r="X47" s="28"/>
      <c r="Y47" s="28"/>
      <c r="Z47" s="28"/>
      <c r="AA47" s="28"/>
      <c r="AB47" s="22" t="n">
        <f aca="false">SUM(AC47:AF47)</f>
        <v>0</v>
      </c>
      <c r="AC47" s="28"/>
      <c r="AD47" s="28"/>
      <c r="AE47" s="28"/>
      <c r="AF47" s="28"/>
      <c r="AG47" s="21" t="n">
        <f aca="false">SUM(AH47:AK47)</f>
        <v>0</v>
      </c>
      <c r="AH47" s="28"/>
      <c r="AI47" s="28"/>
      <c r="AJ47" s="28"/>
      <c r="AK47" s="28"/>
      <c r="AL47" s="17" t="s">
        <v>304</v>
      </c>
      <c r="AM47" s="17" t="s">
        <v>26</v>
      </c>
      <c r="AN47" s="17"/>
      <c r="AO47" s="17" t="s">
        <v>48</v>
      </c>
      <c r="AP47" s="17" t="s">
        <v>305</v>
      </c>
      <c r="AQ47" s="31" t="s">
        <v>306</v>
      </c>
      <c r="AR47" s="31" t="s">
        <v>288</v>
      </c>
      <c r="AS47" s="31" t="s">
        <v>306</v>
      </c>
      <c r="AT47" s="31" t="s">
        <v>306</v>
      </c>
      <c r="AU47" s="17" t="s">
        <v>307</v>
      </c>
      <c r="AV47" s="29" t="s">
        <v>53</v>
      </c>
      <c r="AW47" s="17" t="s">
        <v>54</v>
      </c>
      <c r="AX47" s="17" t="s">
        <v>308</v>
      </c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</row>
    <row r="48" customFormat="false" ht="132.75" hidden="false" customHeight="true" outlineLevel="0" collapsed="false">
      <c r="A48" s="18" t="s">
        <v>309</v>
      </c>
      <c r="B48" s="15" t="s">
        <v>278</v>
      </c>
      <c r="C48" s="16" t="s">
        <v>279</v>
      </c>
      <c r="D48" s="31" t="s">
        <v>280</v>
      </c>
      <c r="E48" s="49" t="s">
        <v>281</v>
      </c>
      <c r="F48" s="49" t="s">
        <v>282</v>
      </c>
      <c r="G48" s="50" t="s">
        <v>310</v>
      </c>
      <c r="H48" s="16" t="s">
        <v>284</v>
      </c>
      <c r="I48" s="21" t="n">
        <f aca="false">J48+P48+V48+AB48+AG48</f>
        <v>13833.904</v>
      </c>
      <c r="J48" s="21" t="n">
        <f aca="false">SUM(K48:O48)</f>
        <v>13833.904</v>
      </c>
      <c r="K48" s="21"/>
      <c r="L48" s="51" t="n">
        <f aca="false">223.641+13610.263</f>
        <v>13833.904</v>
      </c>
      <c r="M48" s="21"/>
      <c r="N48" s="21"/>
      <c r="O48" s="21"/>
      <c r="P48" s="22" t="n">
        <f aca="false">SUM(Q48:U48)</f>
        <v>0</v>
      </c>
      <c r="Q48" s="21"/>
      <c r="R48" s="21"/>
      <c r="S48" s="21"/>
      <c r="T48" s="21"/>
      <c r="U48" s="21"/>
      <c r="V48" s="22" t="n">
        <f aca="false">SUM(W48:AA48)</f>
        <v>0</v>
      </c>
      <c r="W48" s="21"/>
      <c r="X48" s="21"/>
      <c r="Y48" s="21"/>
      <c r="Z48" s="21"/>
      <c r="AA48" s="21"/>
      <c r="AB48" s="22" t="n">
        <f aca="false">SUM(AC48:AF48)</f>
        <v>0</v>
      </c>
      <c r="AC48" s="21"/>
      <c r="AD48" s="21"/>
      <c r="AE48" s="21"/>
      <c r="AF48" s="21"/>
      <c r="AG48" s="21" t="n">
        <f aca="false">SUM(AH48:AK48)</f>
        <v>0</v>
      </c>
      <c r="AH48" s="21"/>
      <c r="AI48" s="21"/>
      <c r="AJ48" s="21"/>
      <c r="AK48" s="21"/>
      <c r="AL48" s="31" t="s">
        <v>285</v>
      </c>
      <c r="AM48" s="31"/>
      <c r="AN48" s="31" t="s">
        <v>25</v>
      </c>
      <c r="AO48" s="31" t="s">
        <v>311</v>
      </c>
      <c r="AP48" s="31" t="s">
        <v>312</v>
      </c>
      <c r="AQ48" s="31" t="s">
        <v>287</v>
      </c>
      <c r="AR48" s="31" t="s">
        <v>288</v>
      </c>
      <c r="AS48" s="31" t="s">
        <v>287</v>
      </c>
      <c r="AT48" s="31" t="s">
        <v>287</v>
      </c>
      <c r="AU48" s="31"/>
      <c r="AV48" s="31" t="s">
        <v>53</v>
      </c>
      <c r="AW48" s="31" t="s">
        <v>313</v>
      </c>
      <c r="AX48" s="31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</row>
    <row r="49" customFormat="false" ht="144" hidden="false" customHeight="true" outlineLevel="0" collapsed="false">
      <c r="A49" s="18" t="s">
        <v>314</v>
      </c>
      <c r="B49" s="15" t="s">
        <v>278</v>
      </c>
      <c r="C49" s="15" t="s">
        <v>279</v>
      </c>
      <c r="D49" s="31" t="s">
        <v>280</v>
      </c>
      <c r="E49" s="49" t="s">
        <v>281</v>
      </c>
      <c r="F49" s="49" t="s">
        <v>282</v>
      </c>
      <c r="G49" s="15" t="s">
        <v>315</v>
      </c>
      <c r="H49" s="15" t="s">
        <v>284</v>
      </c>
      <c r="I49" s="21" t="n">
        <f aca="false">J49+P49+V49+AB49+AG49</f>
        <v>387451.38002</v>
      </c>
      <c r="J49" s="21" t="n">
        <f aca="false">SUM(K49:O49)</f>
        <v>105000</v>
      </c>
      <c r="K49" s="21" t="n">
        <v>103950</v>
      </c>
      <c r="L49" s="21" t="n">
        <f aca="false">6485.1754-5435.1754</f>
        <v>1050</v>
      </c>
      <c r="M49" s="21"/>
      <c r="N49" s="21"/>
      <c r="O49" s="21"/>
      <c r="P49" s="22" t="n">
        <f aca="false">SUM(Q49:U49)</f>
        <v>282451.38002</v>
      </c>
      <c r="Q49" s="21" t="n">
        <v>215600</v>
      </c>
      <c r="R49" s="21" t="n">
        <f aca="false">168967.54002-102116.16</f>
        <v>66851.38002</v>
      </c>
      <c r="S49" s="21"/>
      <c r="T49" s="21"/>
      <c r="U49" s="21"/>
      <c r="V49" s="22" t="n">
        <f aca="false">SUM(W49:AA49)</f>
        <v>0</v>
      </c>
      <c r="W49" s="21"/>
      <c r="X49" s="21"/>
      <c r="Y49" s="21"/>
      <c r="Z49" s="21"/>
      <c r="AA49" s="21"/>
      <c r="AB49" s="22" t="n">
        <f aca="false">SUM(AC49:AF49)</f>
        <v>0</v>
      </c>
      <c r="AC49" s="21"/>
      <c r="AD49" s="21"/>
      <c r="AE49" s="21"/>
      <c r="AF49" s="21"/>
      <c r="AG49" s="21" t="n">
        <f aca="false">SUM(AH49:AK49)</f>
        <v>0</v>
      </c>
      <c r="AH49" s="21"/>
      <c r="AI49" s="21"/>
      <c r="AJ49" s="21"/>
      <c r="AK49" s="21"/>
      <c r="AL49" s="15" t="s">
        <v>285</v>
      </c>
      <c r="AM49" s="15" t="s">
        <v>26</v>
      </c>
      <c r="AN49" s="15"/>
      <c r="AO49" s="15" t="s">
        <v>286</v>
      </c>
      <c r="AP49" s="15" t="s">
        <v>312</v>
      </c>
      <c r="AQ49" s="15" t="s">
        <v>287</v>
      </c>
      <c r="AR49" s="31" t="s">
        <v>288</v>
      </c>
      <c r="AS49" s="31" t="s">
        <v>287</v>
      </c>
      <c r="AT49" s="31" t="s">
        <v>287</v>
      </c>
      <c r="AU49" s="52"/>
      <c r="AV49" s="16" t="s">
        <v>53</v>
      </c>
      <c r="AW49" s="17" t="s">
        <v>63</v>
      </c>
      <c r="AX49" s="15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</row>
    <row r="50" customFormat="false" ht="144.75" hidden="false" customHeight="true" outlineLevel="0" collapsed="false">
      <c r="A50" s="18" t="s">
        <v>316</v>
      </c>
      <c r="B50" s="15" t="s">
        <v>278</v>
      </c>
      <c r="C50" s="15" t="s">
        <v>279</v>
      </c>
      <c r="D50" s="31" t="s">
        <v>280</v>
      </c>
      <c r="E50" s="49" t="s">
        <v>281</v>
      </c>
      <c r="F50" s="49" t="s">
        <v>282</v>
      </c>
      <c r="G50" s="15" t="s">
        <v>317</v>
      </c>
      <c r="H50" s="15" t="s">
        <v>284</v>
      </c>
      <c r="I50" s="21" t="n">
        <f aca="false">J50+P50+V50+AB50+AG50</f>
        <v>459350.62549</v>
      </c>
      <c r="J50" s="21" t="n">
        <f aca="false">SUM(K50:O50)</f>
        <v>459350.62549</v>
      </c>
      <c r="K50" s="21" t="n">
        <f aca="false">0+341981.7</f>
        <v>341981.7</v>
      </c>
      <c r="L50" s="21" t="n">
        <f aca="false">8082.42279+109286.5027</f>
        <v>117368.92549</v>
      </c>
      <c r="M50" s="21"/>
      <c r="N50" s="21"/>
      <c r="O50" s="21"/>
      <c r="P50" s="22" t="n">
        <f aca="false">SUM(Q50:U50)</f>
        <v>0</v>
      </c>
      <c r="Q50" s="21"/>
      <c r="R50" s="21"/>
      <c r="S50" s="21"/>
      <c r="T50" s="21"/>
      <c r="U50" s="21"/>
      <c r="V50" s="22" t="n">
        <f aca="false">SUM(W50:AA50)</f>
        <v>0</v>
      </c>
      <c r="W50" s="21"/>
      <c r="X50" s="21"/>
      <c r="Y50" s="21"/>
      <c r="Z50" s="21"/>
      <c r="AA50" s="21"/>
      <c r="AB50" s="22" t="n">
        <f aca="false">SUM(AC50:AF50)</f>
        <v>0</v>
      </c>
      <c r="AC50" s="21"/>
      <c r="AD50" s="21"/>
      <c r="AE50" s="21"/>
      <c r="AF50" s="21"/>
      <c r="AG50" s="21" t="n">
        <f aca="false">SUM(AH50:AK50)</f>
        <v>0</v>
      </c>
      <c r="AH50" s="21"/>
      <c r="AI50" s="21"/>
      <c r="AJ50" s="21"/>
      <c r="AK50" s="21"/>
      <c r="AL50" s="15" t="s">
        <v>285</v>
      </c>
      <c r="AM50" s="31" t="s">
        <v>25</v>
      </c>
      <c r="AN50" s="15"/>
      <c r="AO50" s="31" t="s">
        <v>286</v>
      </c>
      <c r="AP50" s="31" t="s">
        <v>318</v>
      </c>
      <c r="AQ50" s="31" t="s">
        <v>287</v>
      </c>
      <c r="AR50" s="31" t="s">
        <v>288</v>
      </c>
      <c r="AS50" s="31" t="s">
        <v>287</v>
      </c>
      <c r="AT50" s="31" t="s">
        <v>287</v>
      </c>
      <c r="AU50" s="39" t="s">
        <v>319</v>
      </c>
      <c r="AV50" s="31" t="s">
        <v>53</v>
      </c>
      <c r="AW50" s="34" t="s">
        <v>290</v>
      </c>
      <c r="AX50" s="31" t="s">
        <v>320</v>
      </c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</row>
    <row r="51" customFormat="false" ht="89.25" hidden="false" customHeight="false" outlineLevel="0" collapsed="false">
      <c r="A51" s="18" t="s">
        <v>321</v>
      </c>
      <c r="B51" s="15" t="s">
        <v>278</v>
      </c>
      <c r="C51" s="15" t="s">
        <v>279</v>
      </c>
      <c r="D51" s="31" t="s">
        <v>280</v>
      </c>
      <c r="E51" s="49" t="s">
        <v>281</v>
      </c>
      <c r="F51" s="49" t="s">
        <v>282</v>
      </c>
      <c r="G51" s="15" t="s">
        <v>322</v>
      </c>
      <c r="H51" s="15" t="s">
        <v>284</v>
      </c>
      <c r="I51" s="21" t="n">
        <f aca="false">J51+P51+V51+AB51+AG51</f>
        <v>451552</v>
      </c>
      <c r="J51" s="21" t="n">
        <f aca="false">SUM(K51:O51)</f>
        <v>43740</v>
      </c>
      <c r="K51" s="21" t="n">
        <f aca="false">0+43302.6</f>
        <v>43302.6</v>
      </c>
      <c r="L51" s="21" t="n">
        <f aca="false">0+437.4</f>
        <v>437.4</v>
      </c>
      <c r="M51" s="21"/>
      <c r="N51" s="21"/>
      <c r="O51" s="21"/>
      <c r="P51" s="22" t="n">
        <f aca="false">SUM(Q51:U51)</f>
        <v>407812</v>
      </c>
      <c r="Q51" s="21" t="n">
        <f aca="false">0+89812</f>
        <v>89812</v>
      </c>
      <c r="R51" s="21" t="n">
        <v>318000</v>
      </c>
      <c r="S51" s="21"/>
      <c r="T51" s="21"/>
      <c r="U51" s="21"/>
      <c r="V51" s="22" t="n">
        <f aca="false">SUM(W51:AA51)</f>
        <v>0</v>
      </c>
      <c r="W51" s="21"/>
      <c r="X51" s="21"/>
      <c r="Y51" s="21"/>
      <c r="Z51" s="21"/>
      <c r="AA51" s="21"/>
      <c r="AB51" s="22" t="n">
        <f aca="false">SUM(AC51:AF51)</f>
        <v>0</v>
      </c>
      <c r="AC51" s="21"/>
      <c r="AD51" s="21"/>
      <c r="AE51" s="21"/>
      <c r="AF51" s="21"/>
      <c r="AG51" s="21" t="n">
        <f aca="false">SUM(AH51:AK51)</f>
        <v>0</v>
      </c>
      <c r="AH51" s="21"/>
      <c r="AI51" s="21"/>
      <c r="AJ51" s="21"/>
      <c r="AK51" s="21"/>
      <c r="AL51" s="31" t="s">
        <v>285</v>
      </c>
      <c r="AM51" s="31" t="s">
        <v>26</v>
      </c>
      <c r="AN51" s="31"/>
      <c r="AO51" s="31" t="s">
        <v>286</v>
      </c>
      <c r="AP51" s="31" t="s">
        <v>312</v>
      </c>
      <c r="AQ51" s="31" t="s">
        <v>287</v>
      </c>
      <c r="AR51" s="31" t="s">
        <v>288</v>
      </c>
      <c r="AS51" s="31" t="s">
        <v>287</v>
      </c>
      <c r="AT51" s="31" t="s">
        <v>287</v>
      </c>
      <c r="AU51" s="53"/>
      <c r="AV51" s="31" t="s">
        <v>53</v>
      </c>
      <c r="AW51" s="34" t="s">
        <v>63</v>
      </c>
      <c r="AX51" s="31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</row>
    <row r="52" customFormat="false" ht="93" hidden="false" customHeight="true" outlineLevel="0" collapsed="false">
      <c r="A52" s="18" t="s">
        <v>323</v>
      </c>
      <c r="B52" s="15" t="s">
        <v>278</v>
      </c>
      <c r="C52" s="16" t="s">
        <v>279</v>
      </c>
      <c r="D52" s="31" t="s">
        <v>280</v>
      </c>
      <c r="E52" s="49" t="s">
        <v>281</v>
      </c>
      <c r="F52" s="49" t="s">
        <v>282</v>
      </c>
      <c r="G52" s="50" t="s">
        <v>324</v>
      </c>
      <c r="H52" s="16" t="s">
        <v>284</v>
      </c>
      <c r="I52" s="21" t="n">
        <f aca="false">J52+P52+V52+AB52+AG52</f>
        <v>46511.1</v>
      </c>
      <c r="J52" s="21" t="n">
        <f aca="false">SUM(K52:O52)</f>
        <v>46511.1</v>
      </c>
      <c r="K52" s="21"/>
      <c r="L52" s="51" t="n">
        <v>46511.1</v>
      </c>
      <c r="M52" s="21"/>
      <c r="N52" s="21"/>
      <c r="O52" s="21"/>
      <c r="P52" s="22" t="n">
        <f aca="false">SUM(Q52:U52)</f>
        <v>0</v>
      </c>
      <c r="Q52" s="21"/>
      <c r="R52" s="21"/>
      <c r="S52" s="21"/>
      <c r="T52" s="21"/>
      <c r="U52" s="21"/>
      <c r="V52" s="22" t="n">
        <f aca="false">SUM(W52:AA52)</f>
        <v>0</v>
      </c>
      <c r="W52" s="21"/>
      <c r="X52" s="21"/>
      <c r="Y52" s="21"/>
      <c r="Z52" s="21"/>
      <c r="AA52" s="21"/>
      <c r="AB52" s="22" t="n">
        <f aca="false">SUM(AC52:AF52)</f>
        <v>0</v>
      </c>
      <c r="AC52" s="21"/>
      <c r="AD52" s="21"/>
      <c r="AE52" s="21"/>
      <c r="AF52" s="21"/>
      <c r="AG52" s="21" t="n">
        <f aca="false">SUM(AH52:AK52)</f>
        <v>0</v>
      </c>
      <c r="AH52" s="21"/>
      <c r="AI52" s="21"/>
      <c r="AJ52" s="21"/>
      <c r="AK52" s="21"/>
      <c r="AL52" s="31" t="s">
        <v>285</v>
      </c>
      <c r="AN52" s="31" t="s">
        <v>25</v>
      </c>
      <c r="AO52" s="31" t="s">
        <v>311</v>
      </c>
      <c r="AP52" s="31" t="s">
        <v>325</v>
      </c>
      <c r="AQ52" s="31" t="s">
        <v>287</v>
      </c>
      <c r="AR52" s="31" t="s">
        <v>288</v>
      </c>
      <c r="AS52" s="31" t="s">
        <v>287</v>
      </c>
      <c r="AT52" s="31" t="s">
        <v>287</v>
      </c>
      <c r="AU52" s="31"/>
      <c r="AV52" s="31" t="s">
        <v>53</v>
      </c>
      <c r="AW52" s="31" t="s">
        <v>326</v>
      </c>
      <c r="AX52" s="31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</row>
    <row r="53" customFormat="false" ht="120" hidden="false" customHeight="true" outlineLevel="0" collapsed="false">
      <c r="A53" s="18" t="s">
        <v>327</v>
      </c>
      <c r="B53" s="15" t="s">
        <v>278</v>
      </c>
      <c r="C53" s="15" t="s">
        <v>279</v>
      </c>
      <c r="D53" s="31" t="s">
        <v>280</v>
      </c>
      <c r="E53" s="49" t="s">
        <v>281</v>
      </c>
      <c r="F53" s="49" t="s">
        <v>282</v>
      </c>
      <c r="G53" s="15" t="s">
        <v>328</v>
      </c>
      <c r="H53" s="15" t="s">
        <v>284</v>
      </c>
      <c r="I53" s="21" t="n">
        <f aca="false">J53+P53+V53+AB53+AG53</f>
        <v>1121985.52594</v>
      </c>
      <c r="J53" s="21" t="n">
        <f aca="false">SUM(K53:O53)</f>
        <v>0</v>
      </c>
      <c r="K53" s="21"/>
      <c r="L53" s="21" t="n">
        <f aca="false">327168-327168</f>
        <v>0</v>
      </c>
      <c r="M53" s="21"/>
      <c r="N53" s="21"/>
      <c r="O53" s="21"/>
      <c r="P53" s="22" t="n">
        <f aca="false">SUM(Q53:U53)</f>
        <v>658591.42395</v>
      </c>
      <c r="Q53" s="21"/>
      <c r="R53" s="21" t="n">
        <f aca="false">763392-58269.07917-46531.49688</f>
        <v>658591.42395</v>
      </c>
      <c r="S53" s="21"/>
      <c r="T53" s="21"/>
      <c r="U53" s="21"/>
      <c r="V53" s="22" t="n">
        <f aca="false">SUM(W53:AA53)</f>
        <v>463394.10199</v>
      </c>
      <c r="W53" s="21"/>
      <c r="X53" s="21" t="n">
        <f aca="false">780895.58699-121390.47-196111.015</f>
        <v>463394.10199</v>
      </c>
      <c r="Y53" s="21"/>
      <c r="Z53" s="21"/>
      <c r="AA53" s="21"/>
      <c r="AB53" s="22" t="n">
        <f aca="false">SUM(AC53:AF53)</f>
        <v>0</v>
      </c>
      <c r="AC53" s="21"/>
      <c r="AD53" s="21"/>
      <c r="AE53" s="21"/>
      <c r="AF53" s="21"/>
      <c r="AG53" s="21" t="n">
        <f aca="false">SUM(AH53:AK53)</f>
        <v>0</v>
      </c>
      <c r="AH53" s="21"/>
      <c r="AI53" s="21"/>
      <c r="AJ53" s="21"/>
      <c r="AK53" s="21"/>
      <c r="AL53" s="15" t="s">
        <v>285</v>
      </c>
      <c r="AM53" s="31" t="s">
        <v>27</v>
      </c>
      <c r="AN53" s="15"/>
      <c r="AO53" s="31" t="s">
        <v>286</v>
      </c>
      <c r="AP53" s="31" t="s">
        <v>325</v>
      </c>
      <c r="AQ53" s="31" t="s">
        <v>287</v>
      </c>
      <c r="AR53" s="31" t="s">
        <v>288</v>
      </c>
      <c r="AS53" s="31" t="s">
        <v>287</v>
      </c>
      <c r="AT53" s="31" t="s">
        <v>287</v>
      </c>
      <c r="AU53" s="53"/>
      <c r="AV53" s="31" t="s">
        <v>53</v>
      </c>
      <c r="AW53" s="34" t="s">
        <v>63</v>
      </c>
      <c r="AX53" s="31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</row>
    <row r="54" customFormat="false" ht="105.75" hidden="false" customHeight="true" outlineLevel="0" collapsed="false">
      <c r="A54" s="18" t="s">
        <v>329</v>
      </c>
      <c r="B54" s="15" t="s">
        <v>278</v>
      </c>
      <c r="C54" s="15" t="s">
        <v>279</v>
      </c>
      <c r="D54" s="31" t="s">
        <v>280</v>
      </c>
      <c r="E54" s="49" t="s">
        <v>281</v>
      </c>
      <c r="F54" s="49" t="s">
        <v>282</v>
      </c>
      <c r="G54" s="15" t="s">
        <v>330</v>
      </c>
      <c r="H54" s="15" t="s">
        <v>113</v>
      </c>
      <c r="I54" s="21" t="n">
        <f aca="false">J54+P54+V54+AB54+AG54</f>
        <v>257887</v>
      </c>
      <c r="J54" s="21" t="n">
        <f aca="false">SUM(K54:O54)</f>
        <v>0</v>
      </c>
      <c r="K54" s="21"/>
      <c r="L54" s="21" t="n">
        <f aca="false">110523-110523</f>
        <v>0</v>
      </c>
      <c r="M54" s="21"/>
      <c r="N54" s="21"/>
      <c r="O54" s="21"/>
      <c r="P54" s="22" t="n">
        <f aca="false">SUM(Q54:U54)</f>
        <v>257887</v>
      </c>
      <c r="Q54" s="21"/>
      <c r="R54" s="21" t="n">
        <v>257887</v>
      </c>
      <c r="S54" s="21"/>
      <c r="T54" s="21"/>
      <c r="U54" s="21"/>
      <c r="V54" s="22" t="n">
        <f aca="false">SUM(W54:AA54)</f>
        <v>0</v>
      </c>
      <c r="W54" s="21"/>
      <c r="X54" s="21"/>
      <c r="Y54" s="21"/>
      <c r="Z54" s="21"/>
      <c r="AA54" s="21"/>
      <c r="AB54" s="22" t="n">
        <f aca="false">SUM(AC54:AF54)</f>
        <v>0</v>
      </c>
      <c r="AC54" s="21"/>
      <c r="AD54" s="21"/>
      <c r="AE54" s="21"/>
      <c r="AF54" s="21"/>
      <c r="AG54" s="21" t="n">
        <f aca="false">SUM(AH54:AK54)</f>
        <v>0</v>
      </c>
      <c r="AH54" s="21"/>
      <c r="AI54" s="21"/>
      <c r="AJ54" s="21"/>
      <c r="AK54" s="21"/>
      <c r="AL54" s="15" t="s">
        <v>285</v>
      </c>
      <c r="AM54" s="31" t="s">
        <v>26</v>
      </c>
      <c r="AN54" s="15"/>
      <c r="AO54" s="31" t="s">
        <v>286</v>
      </c>
      <c r="AP54" s="31" t="s">
        <v>331</v>
      </c>
      <c r="AQ54" s="31" t="s">
        <v>287</v>
      </c>
      <c r="AR54" s="31" t="s">
        <v>288</v>
      </c>
      <c r="AS54" s="31" t="s">
        <v>287</v>
      </c>
      <c r="AT54" s="31" t="s">
        <v>287</v>
      </c>
      <c r="AU54" s="39" t="s">
        <v>332</v>
      </c>
      <c r="AV54" s="31" t="s">
        <v>53</v>
      </c>
      <c r="AW54" s="31" t="s">
        <v>63</v>
      </c>
      <c r="AX54" s="31" t="s">
        <v>333</v>
      </c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</row>
    <row r="55" customFormat="false" ht="117" hidden="false" customHeight="true" outlineLevel="0" collapsed="false">
      <c r="A55" s="18" t="s">
        <v>334</v>
      </c>
      <c r="B55" s="15" t="s">
        <v>278</v>
      </c>
      <c r="C55" s="15" t="s">
        <v>279</v>
      </c>
      <c r="D55" s="31" t="s">
        <v>280</v>
      </c>
      <c r="E55" s="49" t="s">
        <v>281</v>
      </c>
      <c r="F55" s="49" t="s">
        <v>282</v>
      </c>
      <c r="G55" s="15" t="s">
        <v>335</v>
      </c>
      <c r="H55" s="15" t="s">
        <v>113</v>
      </c>
      <c r="I55" s="21" t="n">
        <f aca="false">J55+P55+V55+AB55+AG55</f>
        <v>420343</v>
      </c>
      <c r="J55" s="21" t="n">
        <f aca="false">SUM(K55:O55)</f>
        <v>0</v>
      </c>
      <c r="K55" s="21"/>
      <c r="L55" s="21" t="n">
        <f aca="false">180147-180147</f>
        <v>0</v>
      </c>
      <c r="M55" s="21"/>
      <c r="N55" s="21"/>
      <c r="O55" s="21"/>
      <c r="P55" s="22" t="n">
        <f aca="false">SUM(Q55:U55)</f>
        <v>420343</v>
      </c>
      <c r="Q55" s="21"/>
      <c r="R55" s="21" t="n">
        <v>420343</v>
      </c>
      <c r="S55" s="21"/>
      <c r="T55" s="21"/>
      <c r="U55" s="21"/>
      <c r="V55" s="22" t="n">
        <f aca="false">SUM(W55:AA55)</f>
        <v>0</v>
      </c>
      <c r="W55" s="21"/>
      <c r="X55" s="21"/>
      <c r="Y55" s="21"/>
      <c r="Z55" s="21"/>
      <c r="AA55" s="21"/>
      <c r="AB55" s="22" t="n">
        <f aca="false">SUM(AC55:AF55)</f>
        <v>0</v>
      </c>
      <c r="AC55" s="21"/>
      <c r="AD55" s="21"/>
      <c r="AE55" s="21"/>
      <c r="AF55" s="21"/>
      <c r="AG55" s="21" t="n">
        <f aca="false">SUM(AH55:AK55)</f>
        <v>0</v>
      </c>
      <c r="AH55" s="21"/>
      <c r="AI55" s="21"/>
      <c r="AJ55" s="21"/>
      <c r="AK55" s="21"/>
      <c r="AL55" s="15" t="s">
        <v>285</v>
      </c>
      <c r="AM55" s="31" t="s">
        <v>26</v>
      </c>
      <c r="AN55" s="15"/>
      <c r="AO55" s="31" t="s">
        <v>286</v>
      </c>
      <c r="AP55" s="31" t="s">
        <v>336</v>
      </c>
      <c r="AQ55" s="31" t="s">
        <v>287</v>
      </c>
      <c r="AR55" s="31" t="s">
        <v>288</v>
      </c>
      <c r="AS55" s="31" t="s">
        <v>287</v>
      </c>
      <c r="AT55" s="31" t="s">
        <v>287</v>
      </c>
      <c r="AU55" s="39" t="s">
        <v>337</v>
      </c>
      <c r="AV55" s="31" t="s">
        <v>53</v>
      </c>
      <c r="AW55" s="31" t="s">
        <v>98</v>
      </c>
      <c r="AX55" s="31" t="s">
        <v>338</v>
      </c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</row>
    <row r="56" customFormat="false" ht="125.25" hidden="false" customHeight="true" outlineLevel="0" collapsed="false">
      <c r="A56" s="18" t="s">
        <v>339</v>
      </c>
      <c r="B56" s="15" t="s">
        <v>278</v>
      </c>
      <c r="C56" s="15" t="s">
        <v>279</v>
      </c>
      <c r="D56" s="31" t="s">
        <v>280</v>
      </c>
      <c r="E56" s="49" t="s">
        <v>281</v>
      </c>
      <c r="F56" s="49" t="s">
        <v>282</v>
      </c>
      <c r="G56" s="15" t="s">
        <v>340</v>
      </c>
      <c r="H56" s="15" t="s">
        <v>113</v>
      </c>
      <c r="I56" s="21" t="n">
        <f aca="false">J56+P56+V56+AB56+AG56</f>
        <v>1058164.31086</v>
      </c>
      <c r="J56" s="21" t="n">
        <f aca="false">SUM(K56:O56)</f>
        <v>0</v>
      </c>
      <c r="K56" s="21"/>
      <c r="L56" s="21" t="n">
        <f aca="false">376416-376416</f>
        <v>0</v>
      </c>
      <c r="M56" s="21"/>
      <c r="N56" s="21"/>
      <c r="O56" s="21"/>
      <c r="P56" s="22" t="n">
        <f aca="false">SUM(Q56:U56)</f>
        <v>1058164.31086</v>
      </c>
      <c r="Q56" s="21"/>
      <c r="R56" s="21" t="n">
        <f aca="false">878304+179860.31086</f>
        <v>1058164.31086</v>
      </c>
      <c r="S56" s="21"/>
      <c r="T56" s="21"/>
      <c r="U56" s="21"/>
      <c r="V56" s="22" t="n">
        <f aca="false">SUM(W56:AA56)</f>
        <v>0</v>
      </c>
      <c r="W56" s="21"/>
      <c r="X56" s="21"/>
      <c r="Y56" s="21"/>
      <c r="Z56" s="21"/>
      <c r="AA56" s="21"/>
      <c r="AB56" s="22" t="n">
        <f aca="false">SUM(AC56:AF56)</f>
        <v>0</v>
      </c>
      <c r="AC56" s="21"/>
      <c r="AD56" s="21"/>
      <c r="AE56" s="21"/>
      <c r="AF56" s="21"/>
      <c r="AG56" s="21" t="n">
        <f aca="false">SUM(AH56:AK56)</f>
        <v>0</v>
      </c>
      <c r="AH56" s="21"/>
      <c r="AI56" s="21"/>
      <c r="AJ56" s="21"/>
      <c r="AK56" s="21"/>
      <c r="AL56" s="15" t="s">
        <v>285</v>
      </c>
      <c r="AM56" s="31" t="s">
        <v>26</v>
      </c>
      <c r="AN56" s="15"/>
      <c r="AO56" s="31" t="s">
        <v>286</v>
      </c>
      <c r="AP56" s="31" t="s">
        <v>341</v>
      </c>
      <c r="AQ56" s="31" t="s">
        <v>287</v>
      </c>
      <c r="AR56" s="31" t="s">
        <v>288</v>
      </c>
      <c r="AS56" s="31" t="s">
        <v>287</v>
      </c>
      <c r="AT56" s="31" t="s">
        <v>287</v>
      </c>
      <c r="AU56" s="53"/>
      <c r="AV56" s="31" t="s">
        <v>53</v>
      </c>
      <c r="AW56" s="34" t="s">
        <v>63</v>
      </c>
      <c r="AX56" s="31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</row>
    <row r="57" customFormat="false" ht="125.25" hidden="false" customHeight="true" outlineLevel="0" collapsed="false">
      <c r="A57" s="18" t="s">
        <v>342</v>
      </c>
      <c r="B57" s="15" t="s">
        <v>278</v>
      </c>
      <c r="C57" s="16" t="s">
        <v>279</v>
      </c>
      <c r="D57" s="31" t="s">
        <v>280</v>
      </c>
      <c r="E57" s="34" t="s">
        <v>281</v>
      </c>
      <c r="F57" s="49" t="s">
        <v>282</v>
      </c>
      <c r="G57" s="50" t="s">
        <v>343</v>
      </c>
      <c r="H57" s="16" t="s">
        <v>113</v>
      </c>
      <c r="I57" s="21" t="n">
        <f aca="false">J57+P57+V57+AB57+AG57</f>
        <v>71250</v>
      </c>
      <c r="J57" s="21" t="n">
        <f aca="false">SUM(K57:O57)</f>
        <v>71250</v>
      </c>
      <c r="K57" s="21"/>
      <c r="L57" s="51" t="n">
        <v>71250</v>
      </c>
      <c r="M57" s="21"/>
      <c r="N57" s="21"/>
      <c r="O57" s="21"/>
      <c r="P57" s="22" t="n">
        <f aca="false">SUM(Q57:U57)</f>
        <v>0</v>
      </c>
      <c r="Q57" s="21"/>
      <c r="R57" s="21"/>
      <c r="S57" s="21"/>
      <c r="T57" s="21"/>
      <c r="U57" s="21"/>
      <c r="V57" s="22" t="n">
        <f aca="false">SUM(W57:AA57)</f>
        <v>0</v>
      </c>
      <c r="W57" s="21"/>
      <c r="X57" s="21"/>
      <c r="Y57" s="21"/>
      <c r="Z57" s="21"/>
      <c r="AA57" s="21"/>
      <c r="AB57" s="22" t="n">
        <f aca="false">SUM(AC57:AF57)</f>
        <v>0</v>
      </c>
      <c r="AC57" s="21"/>
      <c r="AD57" s="21"/>
      <c r="AE57" s="21"/>
      <c r="AF57" s="21"/>
      <c r="AG57" s="21" t="n">
        <f aca="false">SUM(AH57:AK57)</f>
        <v>0</v>
      </c>
      <c r="AH57" s="21"/>
      <c r="AI57" s="21"/>
      <c r="AJ57" s="21"/>
      <c r="AK57" s="21"/>
      <c r="AL57" s="31" t="s">
        <v>285</v>
      </c>
      <c r="AM57" s="31"/>
      <c r="AN57" s="31" t="s">
        <v>25</v>
      </c>
      <c r="AO57" s="31" t="s">
        <v>311</v>
      </c>
      <c r="AP57" s="31" t="s">
        <v>341</v>
      </c>
      <c r="AQ57" s="31" t="s">
        <v>287</v>
      </c>
      <c r="AR57" s="31" t="s">
        <v>288</v>
      </c>
      <c r="AS57" s="31" t="s">
        <v>287</v>
      </c>
      <c r="AT57" s="31" t="s">
        <v>287</v>
      </c>
      <c r="AU57" s="31"/>
      <c r="AV57" s="31" t="s">
        <v>53</v>
      </c>
      <c r="AW57" s="31" t="s">
        <v>326</v>
      </c>
      <c r="AX57" s="31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</row>
    <row r="58" customFormat="false" ht="120.75" hidden="false" customHeight="true" outlineLevel="0" collapsed="false">
      <c r="A58" s="18" t="s">
        <v>344</v>
      </c>
      <c r="B58" s="15" t="s">
        <v>278</v>
      </c>
      <c r="C58" s="15" t="s">
        <v>279</v>
      </c>
      <c r="D58" s="31" t="s">
        <v>280</v>
      </c>
      <c r="E58" s="34" t="s">
        <v>281</v>
      </c>
      <c r="F58" s="49" t="s">
        <v>282</v>
      </c>
      <c r="G58" s="15" t="s">
        <v>345</v>
      </c>
      <c r="H58" s="15" t="s">
        <v>248</v>
      </c>
      <c r="I58" s="21" t="n">
        <f aca="false">J58+P58+V58+AB58+AG58</f>
        <v>38500</v>
      </c>
      <c r="J58" s="21" t="n">
        <f aca="false">SUM(K58:O58)</f>
        <v>38500</v>
      </c>
      <c r="K58" s="21"/>
      <c r="L58" s="21" t="n">
        <v>38423</v>
      </c>
      <c r="M58" s="21" t="n">
        <v>77</v>
      </c>
      <c r="N58" s="21"/>
      <c r="O58" s="21"/>
      <c r="P58" s="22" t="n">
        <f aca="false">SUM(Q58:U58)</f>
        <v>0</v>
      </c>
      <c r="Q58" s="21"/>
      <c r="R58" s="21"/>
      <c r="S58" s="21"/>
      <c r="T58" s="21"/>
      <c r="U58" s="21"/>
      <c r="V58" s="22" t="n">
        <f aca="false">SUM(W58:AA58)</f>
        <v>0</v>
      </c>
      <c r="W58" s="21"/>
      <c r="X58" s="21"/>
      <c r="Y58" s="21"/>
      <c r="Z58" s="21"/>
      <c r="AA58" s="21"/>
      <c r="AB58" s="22" t="n">
        <f aca="false">SUM(AC58:AF58)</f>
        <v>0</v>
      </c>
      <c r="AC58" s="21"/>
      <c r="AD58" s="21"/>
      <c r="AE58" s="21"/>
      <c r="AF58" s="21"/>
      <c r="AG58" s="21" t="n">
        <f aca="false">SUM(AH58:AK58)</f>
        <v>0</v>
      </c>
      <c r="AH58" s="21"/>
      <c r="AI58" s="21"/>
      <c r="AJ58" s="21"/>
      <c r="AK58" s="21"/>
      <c r="AL58" s="31" t="s">
        <v>285</v>
      </c>
      <c r="AM58" s="31"/>
      <c r="AN58" s="31" t="s">
        <v>25</v>
      </c>
      <c r="AO58" s="34" t="s">
        <v>151</v>
      </c>
      <c r="AP58" s="31"/>
      <c r="AQ58" s="31" t="s">
        <v>248</v>
      </c>
      <c r="AR58" s="31" t="s">
        <v>288</v>
      </c>
      <c r="AS58" s="31" t="s">
        <v>249</v>
      </c>
      <c r="AT58" s="31" t="s">
        <v>249</v>
      </c>
      <c r="AU58" s="31"/>
      <c r="AV58" s="31" t="s">
        <v>155</v>
      </c>
      <c r="AW58" s="34" t="s">
        <v>313</v>
      </c>
      <c r="AX58" s="34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</row>
    <row r="59" customFormat="false" ht="89.25" hidden="false" customHeight="false" outlineLevel="0" collapsed="false">
      <c r="A59" s="18" t="s">
        <v>346</v>
      </c>
      <c r="B59" s="15" t="s">
        <v>278</v>
      </c>
      <c r="C59" s="16" t="s">
        <v>279</v>
      </c>
      <c r="D59" s="31" t="s">
        <v>280</v>
      </c>
      <c r="E59" s="34" t="s">
        <v>281</v>
      </c>
      <c r="F59" s="49" t="s">
        <v>282</v>
      </c>
      <c r="G59" s="50" t="s">
        <v>347</v>
      </c>
      <c r="H59" s="16" t="s">
        <v>113</v>
      </c>
      <c r="I59" s="21" t="n">
        <f aca="false">J59+P59+V59+AB59+AG59</f>
        <v>39008.89</v>
      </c>
      <c r="J59" s="21" t="n">
        <f aca="false">SUM(K59:O59)</f>
        <v>39008.89</v>
      </c>
      <c r="K59" s="21" t="n">
        <f aca="false">0+39008.89</f>
        <v>39008.89</v>
      </c>
      <c r="L59" s="51" t="n">
        <f aca="false">140344.4232-107836.35176-14500-18008.07144</f>
        <v>0</v>
      </c>
      <c r="M59" s="21"/>
      <c r="N59" s="21"/>
      <c r="O59" s="21"/>
      <c r="P59" s="22" t="n">
        <f aca="false">SUM(Q59:U59)</f>
        <v>0</v>
      </c>
      <c r="Q59" s="21"/>
      <c r="R59" s="21"/>
      <c r="S59" s="21"/>
      <c r="T59" s="21"/>
      <c r="U59" s="21"/>
      <c r="V59" s="22" t="n">
        <f aca="false">SUM(W59:AA59)</f>
        <v>0</v>
      </c>
      <c r="W59" s="21"/>
      <c r="X59" s="21"/>
      <c r="Y59" s="21"/>
      <c r="Z59" s="21"/>
      <c r="AA59" s="21"/>
      <c r="AB59" s="22" t="n">
        <f aca="false">SUM(AC59:AF59)</f>
        <v>0</v>
      </c>
      <c r="AC59" s="21"/>
      <c r="AD59" s="21"/>
      <c r="AE59" s="21"/>
      <c r="AF59" s="21"/>
      <c r="AG59" s="21" t="n">
        <f aca="false">SUM(AH59:AK59)</f>
        <v>0</v>
      </c>
      <c r="AH59" s="21"/>
      <c r="AI59" s="21"/>
      <c r="AJ59" s="21"/>
      <c r="AK59" s="21"/>
      <c r="AL59" s="31" t="s">
        <v>285</v>
      </c>
      <c r="AM59" s="31" t="s">
        <v>25</v>
      </c>
      <c r="AN59" s="31"/>
      <c r="AO59" s="31" t="s">
        <v>311</v>
      </c>
      <c r="AP59" s="31" t="s">
        <v>348</v>
      </c>
      <c r="AQ59" s="31" t="s">
        <v>287</v>
      </c>
      <c r="AR59" s="31" t="s">
        <v>288</v>
      </c>
      <c r="AS59" s="31" t="s">
        <v>287</v>
      </c>
      <c r="AT59" s="31" t="s">
        <v>287</v>
      </c>
      <c r="AU59" s="31" t="s">
        <v>349</v>
      </c>
      <c r="AV59" s="31" t="s">
        <v>53</v>
      </c>
      <c r="AW59" s="31" t="s">
        <v>54</v>
      </c>
      <c r="AX59" s="31" t="s">
        <v>350</v>
      </c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</row>
    <row r="60" customFormat="false" ht="114.75" hidden="false" customHeight="true" outlineLevel="0" collapsed="false">
      <c r="A60" s="18" t="s">
        <v>351</v>
      </c>
      <c r="B60" s="15" t="s">
        <v>278</v>
      </c>
      <c r="C60" s="16" t="s">
        <v>279</v>
      </c>
      <c r="D60" s="31" t="s">
        <v>280</v>
      </c>
      <c r="E60" s="34" t="s">
        <v>281</v>
      </c>
      <c r="F60" s="49" t="s">
        <v>282</v>
      </c>
      <c r="G60" s="50" t="s">
        <v>352</v>
      </c>
      <c r="H60" s="16" t="s">
        <v>113</v>
      </c>
      <c r="I60" s="21" t="n">
        <f aca="false">J60+P60+V60+AB60+AG60</f>
        <v>3744</v>
      </c>
      <c r="J60" s="21" t="n">
        <f aca="false">SUM(K60:O60)</f>
        <v>3744</v>
      </c>
      <c r="K60" s="21"/>
      <c r="L60" s="51" t="n">
        <f aca="false">4639.42008-895.42008</f>
        <v>3744</v>
      </c>
      <c r="M60" s="21"/>
      <c r="N60" s="21"/>
      <c r="O60" s="21"/>
      <c r="P60" s="22" t="n">
        <f aca="false">SUM(Q60:U60)</f>
        <v>0</v>
      </c>
      <c r="Q60" s="21"/>
      <c r="R60" s="21"/>
      <c r="S60" s="21"/>
      <c r="T60" s="21"/>
      <c r="U60" s="21"/>
      <c r="V60" s="22" t="n">
        <f aca="false">SUM(W60:AA60)</f>
        <v>0</v>
      </c>
      <c r="W60" s="21"/>
      <c r="X60" s="21"/>
      <c r="Y60" s="21"/>
      <c r="Z60" s="21"/>
      <c r="AA60" s="21"/>
      <c r="AB60" s="22" t="n">
        <f aca="false">SUM(AC60:AF60)</f>
        <v>0</v>
      </c>
      <c r="AC60" s="21"/>
      <c r="AD60" s="21"/>
      <c r="AE60" s="21"/>
      <c r="AF60" s="21"/>
      <c r="AG60" s="21" t="n">
        <f aca="false">SUM(AH60:AK60)</f>
        <v>0</v>
      </c>
      <c r="AH60" s="21"/>
      <c r="AI60" s="21"/>
      <c r="AJ60" s="21"/>
      <c r="AK60" s="21"/>
      <c r="AL60" s="31" t="s">
        <v>285</v>
      </c>
      <c r="AM60" s="31" t="s">
        <v>28</v>
      </c>
      <c r="AN60" s="31" t="s">
        <v>25</v>
      </c>
      <c r="AO60" s="31" t="s">
        <v>311</v>
      </c>
      <c r="AP60" s="31" t="s">
        <v>353</v>
      </c>
      <c r="AQ60" s="31" t="s">
        <v>287</v>
      </c>
      <c r="AR60" s="31" t="s">
        <v>288</v>
      </c>
      <c r="AS60" s="31" t="s">
        <v>287</v>
      </c>
      <c r="AT60" s="31" t="s">
        <v>287</v>
      </c>
      <c r="AU60" s="31"/>
      <c r="AV60" s="31" t="s">
        <v>53</v>
      </c>
      <c r="AW60" s="31" t="s">
        <v>313</v>
      </c>
      <c r="AX60" s="31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</row>
    <row r="61" customFormat="false" ht="118.5" hidden="false" customHeight="true" outlineLevel="0" collapsed="false">
      <c r="A61" s="18" t="s">
        <v>354</v>
      </c>
      <c r="B61" s="15" t="s">
        <v>278</v>
      </c>
      <c r="C61" s="16" t="s">
        <v>279</v>
      </c>
      <c r="D61" s="31" t="s">
        <v>280</v>
      </c>
      <c r="E61" s="34" t="s">
        <v>281</v>
      </c>
      <c r="F61" s="49" t="s">
        <v>282</v>
      </c>
      <c r="G61" s="50" t="s">
        <v>355</v>
      </c>
      <c r="H61" s="16" t="s">
        <v>113</v>
      </c>
      <c r="I61" s="21" t="n">
        <f aca="false">J61+P61+V61+AB61+AG61</f>
        <v>15238.4</v>
      </c>
      <c r="J61" s="21" t="n">
        <f aca="false">SUM(K61:O61)</f>
        <v>15238.4</v>
      </c>
      <c r="K61" s="21" t="n">
        <f aca="false">341981.7-341981.7</f>
        <v>0</v>
      </c>
      <c r="L61" s="51" t="n">
        <f aca="false">15238.3+0.1</f>
        <v>15238.4</v>
      </c>
      <c r="M61" s="21"/>
      <c r="N61" s="21"/>
      <c r="O61" s="21"/>
      <c r="P61" s="22" t="n">
        <f aca="false">SUM(Q61:U61)</f>
        <v>0</v>
      </c>
      <c r="Q61" s="21"/>
      <c r="R61" s="21"/>
      <c r="S61" s="21"/>
      <c r="T61" s="21"/>
      <c r="U61" s="21"/>
      <c r="V61" s="22" t="n">
        <f aca="false">SUM(W61:AA61)</f>
        <v>0</v>
      </c>
      <c r="W61" s="21"/>
      <c r="X61" s="21"/>
      <c r="Y61" s="21"/>
      <c r="Z61" s="21"/>
      <c r="AA61" s="21"/>
      <c r="AB61" s="22" t="n">
        <f aca="false">SUM(AC61:AF61)</f>
        <v>0</v>
      </c>
      <c r="AC61" s="21"/>
      <c r="AD61" s="21"/>
      <c r="AE61" s="21"/>
      <c r="AF61" s="21"/>
      <c r="AG61" s="21" t="n">
        <f aca="false">SUM(AH61:AK61)</f>
        <v>0</v>
      </c>
      <c r="AH61" s="21"/>
      <c r="AI61" s="21"/>
      <c r="AJ61" s="21"/>
      <c r="AK61" s="21"/>
      <c r="AL61" s="31" t="s">
        <v>285</v>
      </c>
      <c r="AM61" s="31" t="s">
        <v>28</v>
      </c>
      <c r="AN61" s="31" t="s">
        <v>25</v>
      </c>
      <c r="AO61" s="31" t="s">
        <v>311</v>
      </c>
      <c r="AP61" s="31" t="s">
        <v>356</v>
      </c>
      <c r="AQ61" s="31" t="s">
        <v>287</v>
      </c>
      <c r="AR61" s="31" t="s">
        <v>288</v>
      </c>
      <c r="AS61" s="31" t="s">
        <v>287</v>
      </c>
      <c r="AT61" s="31" t="s">
        <v>287</v>
      </c>
      <c r="AU61" s="31"/>
      <c r="AV61" s="31" t="s">
        <v>53</v>
      </c>
      <c r="AW61" s="31" t="s">
        <v>313</v>
      </c>
      <c r="AX61" s="31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</row>
    <row r="62" customFormat="false" ht="118.5" hidden="false" customHeight="true" outlineLevel="0" collapsed="false">
      <c r="A62" s="18" t="s">
        <v>357</v>
      </c>
      <c r="B62" s="15" t="s">
        <v>278</v>
      </c>
      <c r="C62" s="19" t="s">
        <v>41</v>
      </c>
      <c r="D62" s="23" t="s">
        <v>280</v>
      </c>
      <c r="E62" s="20" t="s">
        <v>281</v>
      </c>
      <c r="F62" s="19" t="s">
        <v>358</v>
      </c>
      <c r="G62" s="19" t="s">
        <v>359</v>
      </c>
      <c r="H62" s="19" t="s">
        <v>360</v>
      </c>
      <c r="I62" s="21" t="n">
        <f aca="false">J62+P62+V62+AB62+AG62</f>
        <v>129000</v>
      </c>
      <c r="J62" s="21" t="n">
        <f aca="false">SUM(K62:O62)</f>
        <v>129000</v>
      </c>
      <c r="K62" s="22"/>
      <c r="L62" s="22" t="n">
        <f aca="false">30000+99000</f>
        <v>129000</v>
      </c>
      <c r="M62" s="22"/>
      <c r="N62" s="22"/>
      <c r="O62" s="22"/>
      <c r="P62" s="22" t="n">
        <f aca="false">SUM(Q62:U62)</f>
        <v>0</v>
      </c>
      <c r="Q62" s="22"/>
      <c r="R62" s="22" t="n">
        <f aca="false">188278.55-188278.55</f>
        <v>0</v>
      </c>
      <c r="S62" s="22"/>
      <c r="T62" s="22"/>
      <c r="U62" s="22"/>
      <c r="V62" s="22" t="n">
        <f aca="false">SUM(W62:AA62)</f>
        <v>0</v>
      </c>
      <c r="W62" s="22"/>
      <c r="X62" s="22"/>
      <c r="Y62" s="22"/>
      <c r="Z62" s="22"/>
      <c r="AA62" s="22"/>
      <c r="AB62" s="22" t="n">
        <f aca="false">SUM(AC62:AF62)</f>
        <v>0</v>
      </c>
      <c r="AC62" s="22"/>
      <c r="AD62" s="22"/>
      <c r="AE62" s="22"/>
      <c r="AF62" s="22"/>
      <c r="AG62" s="21" t="n">
        <f aca="false">SUM(AH62:AK62)</f>
        <v>0</v>
      </c>
      <c r="AH62" s="22"/>
      <c r="AI62" s="22"/>
      <c r="AJ62" s="22"/>
      <c r="AK62" s="22"/>
      <c r="AL62" s="23" t="s">
        <v>285</v>
      </c>
      <c r="AM62" s="23" t="s">
        <v>25</v>
      </c>
      <c r="AN62" s="23"/>
      <c r="AO62" s="23" t="s">
        <v>48</v>
      </c>
      <c r="AP62" s="23" t="s">
        <v>361</v>
      </c>
      <c r="AQ62" s="23" t="s">
        <v>50</v>
      </c>
      <c r="AR62" s="23" t="s">
        <v>279</v>
      </c>
      <c r="AS62" s="23" t="s">
        <v>41</v>
      </c>
      <c r="AT62" s="23" t="s">
        <v>50</v>
      </c>
      <c r="AU62" s="25" t="s">
        <v>362</v>
      </c>
      <c r="AV62" s="16" t="s">
        <v>53</v>
      </c>
      <c r="AW62" s="23" t="s">
        <v>54</v>
      </c>
      <c r="AX62" s="25" t="s">
        <v>363</v>
      </c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</row>
    <row r="63" customFormat="false" ht="99.75" hidden="false" customHeight="true" outlineLevel="0" collapsed="false">
      <c r="A63" s="18" t="s">
        <v>364</v>
      </c>
      <c r="B63" s="15" t="s">
        <v>278</v>
      </c>
      <c r="C63" s="16" t="s">
        <v>279</v>
      </c>
      <c r="D63" s="31" t="s">
        <v>365</v>
      </c>
      <c r="E63" s="49" t="s">
        <v>281</v>
      </c>
      <c r="F63" s="49" t="s">
        <v>282</v>
      </c>
      <c r="G63" s="16" t="s">
        <v>366</v>
      </c>
      <c r="H63" s="16" t="s">
        <v>113</v>
      </c>
      <c r="I63" s="54" t="n">
        <f aca="false">SUM(J63+P63+V63+AB63+AG63)</f>
        <v>1134287.375</v>
      </c>
      <c r="J63" s="54" t="n">
        <f aca="false">SUM(K63:O63)</f>
        <v>282077.53</v>
      </c>
      <c r="K63" s="54" t="n">
        <v>185985</v>
      </c>
      <c r="L63" s="54" t="n">
        <v>96092.53</v>
      </c>
      <c r="M63" s="54"/>
      <c r="N63" s="54"/>
      <c r="O63" s="54"/>
      <c r="P63" s="54" t="n">
        <f aca="false">SUM(Q63:U63)</f>
        <v>299759.76</v>
      </c>
      <c r="Q63" s="54" t="n">
        <v>197643.6</v>
      </c>
      <c r="R63" s="54" t="n">
        <v>102116.16</v>
      </c>
      <c r="S63" s="54"/>
      <c r="T63" s="54"/>
      <c r="U63" s="54"/>
      <c r="V63" s="54" t="n">
        <f aca="false">SUM(W63:AA63)</f>
        <v>552450.085</v>
      </c>
      <c r="W63" s="54" t="n">
        <v>234948.6</v>
      </c>
      <c r="X63" s="54" t="n">
        <f aca="false">121390.47+196111.015</f>
        <v>317501.485</v>
      </c>
      <c r="Y63" s="54"/>
      <c r="Z63" s="54"/>
      <c r="AA63" s="54"/>
      <c r="AB63" s="54" t="n">
        <f aca="false">SUM(AC63:AF63)</f>
        <v>0</v>
      </c>
      <c r="AC63" s="54"/>
      <c r="AD63" s="54"/>
      <c r="AE63" s="54"/>
      <c r="AF63" s="54"/>
      <c r="AG63" s="54" t="n">
        <f aca="false">SUM(AH63:AK63)</f>
        <v>0</v>
      </c>
      <c r="AH63" s="54"/>
      <c r="AI63" s="54"/>
      <c r="AJ63" s="54"/>
      <c r="AK63" s="54"/>
      <c r="AL63" s="31" t="s">
        <v>367</v>
      </c>
      <c r="AM63" s="16" t="s">
        <v>27</v>
      </c>
      <c r="AN63" s="16" t="s">
        <v>368</v>
      </c>
      <c r="AO63" s="16" t="s">
        <v>311</v>
      </c>
      <c r="AP63" s="16" t="s">
        <v>369</v>
      </c>
      <c r="AQ63" s="31" t="s">
        <v>287</v>
      </c>
      <c r="AR63" s="23" t="s">
        <v>279</v>
      </c>
      <c r="AS63" s="31" t="s">
        <v>287</v>
      </c>
      <c r="AT63" s="31" t="s">
        <v>287</v>
      </c>
      <c r="AU63" s="52" t="s">
        <v>370</v>
      </c>
      <c r="AV63" s="16" t="s">
        <v>126</v>
      </c>
      <c r="AW63" s="16" t="s">
        <v>63</v>
      </c>
      <c r="AX63" s="16" t="s">
        <v>371</v>
      </c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</row>
    <row r="64" customFormat="false" ht="103.5" hidden="false" customHeight="true" outlineLevel="0" collapsed="false">
      <c r="A64" s="18" t="s">
        <v>372</v>
      </c>
      <c r="B64" s="15" t="s">
        <v>278</v>
      </c>
      <c r="C64" s="16" t="s">
        <v>279</v>
      </c>
      <c r="D64" s="31" t="s">
        <v>280</v>
      </c>
      <c r="E64" s="49" t="s">
        <v>281</v>
      </c>
      <c r="F64" s="49" t="s">
        <v>282</v>
      </c>
      <c r="G64" s="16" t="s">
        <v>373</v>
      </c>
      <c r="H64" s="16" t="s">
        <v>174</v>
      </c>
      <c r="I64" s="54" t="n">
        <f aca="false">SUM(J64+P64+V64+AB64+AG64)</f>
        <v>14649.167</v>
      </c>
      <c r="J64" s="54" t="n">
        <f aca="false">SUM(K64:O64)</f>
        <v>14649.167</v>
      </c>
      <c r="K64" s="54"/>
      <c r="L64" s="54" t="n">
        <v>14649.167</v>
      </c>
      <c r="M64" s="54"/>
      <c r="N64" s="54"/>
      <c r="O64" s="54"/>
      <c r="P64" s="54" t="n">
        <f aca="false">SUM(Q64:U64)</f>
        <v>0</v>
      </c>
      <c r="Q64" s="54"/>
      <c r="R64" s="54"/>
      <c r="S64" s="54"/>
      <c r="T64" s="54"/>
      <c r="U64" s="54"/>
      <c r="V64" s="54" t="n">
        <f aca="false">SUM(W64:AA64)</f>
        <v>0</v>
      </c>
      <c r="W64" s="54"/>
      <c r="X64" s="54"/>
      <c r="Y64" s="54"/>
      <c r="Z64" s="54"/>
      <c r="AA64" s="54"/>
      <c r="AB64" s="54" t="n">
        <f aca="false">SUM(AC64:AF64)</f>
        <v>0</v>
      </c>
      <c r="AC64" s="54"/>
      <c r="AD64" s="54"/>
      <c r="AE64" s="54"/>
      <c r="AF64" s="54"/>
      <c r="AG64" s="54" t="n">
        <f aca="false">SUM(AH64:AK64)</f>
        <v>0</v>
      </c>
      <c r="AH64" s="54"/>
      <c r="AI64" s="54"/>
      <c r="AJ64" s="54"/>
      <c r="AK64" s="54"/>
      <c r="AL64" s="31" t="s">
        <v>285</v>
      </c>
      <c r="AM64" s="16"/>
      <c r="AN64" s="16" t="s">
        <v>25</v>
      </c>
      <c r="AO64" s="16" t="s">
        <v>311</v>
      </c>
      <c r="AP64" s="16" t="s">
        <v>374</v>
      </c>
      <c r="AQ64" s="31" t="s">
        <v>287</v>
      </c>
      <c r="AR64" s="23" t="s">
        <v>279</v>
      </c>
      <c r="AS64" s="31" t="s">
        <v>287</v>
      </c>
      <c r="AT64" s="31" t="s">
        <v>287</v>
      </c>
      <c r="AU64" s="52" t="s">
        <v>375</v>
      </c>
      <c r="AV64" s="16" t="s">
        <v>126</v>
      </c>
      <c r="AW64" s="16" t="s">
        <v>326</v>
      </c>
      <c r="AX64" s="16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</row>
    <row r="65" customFormat="false" ht="103.5" hidden="false" customHeight="true" outlineLevel="0" collapsed="false">
      <c r="A65" s="18" t="s">
        <v>376</v>
      </c>
      <c r="B65" s="15" t="s">
        <v>278</v>
      </c>
      <c r="C65" s="16" t="s">
        <v>279</v>
      </c>
      <c r="D65" s="31" t="s">
        <v>280</v>
      </c>
      <c r="E65" s="49" t="s">
        <v>281</v>
      </c>
      <c r="F65" s="49" t="s">
        <v>282</v>
      </c>
      <c r="G65" s="16" t="s">
        <v>377</v>
      </c>
      <c r="H65" s="16" t="s">
        <v>174</v>
      </c>
      <c r="I65" s="54" t="n">
        <f aca="false">SUM(J65+P65+V65+AB65+AG65)</f>
        <v>80933.3</v>
      </c>
      <c r="J65" s="54" t="n">
        <f aca="false">SUM(K65:O65)</f>
        <v>80933.3</v>
      </c>
      <c r="K65" s="54"/>
      <c r="L65" s="54" t="n">
        <v>80933.3</v>
      </c>
      <c r="M65" s="54"/>
      <c r="N65" s="54"/>
      <c r="O65" s="54"/>
      <c r="P65" s="54" t="n">
        <f aca="false">SUM(Q65:U65)</f>
        <v>0</v>
      </c>
      <c r="Q65" s="54"/>
      <c r="R65" s="54"/>
      <c r="S65" s="54"/>
      <c r="T65" s="54"/>
      <c r="U65" s="54"/>
      <c r="V65" s="54" t="n">
        <f aca="false">SUM(W65:AA65)</f>
        <v>0</v>
      </c>
      <c r="W65" s="54"/>
      <c r="X65" s="54"/>
      <c r="Y65" s="54"/>
      <c r="Z65" s="54"/>
      <c r="AA65" s="54"/>
      <c r="AB65" s="54" t="n">
        <f aca="false">SUM(AC65:AF65)</f>
        <v>0</v>
      </c>
      <c r="AC65" s="54"/>
      <c r="AD65" s="54"/>
      <c r="AE65" s="54"/>
      <c r="AF65" s="54"/>
      <c r="AG65" s="54" t="n">
        <f aca="false">SUM(AH65:AK65)</f>
        <v>0</v>
      </c>
      <c r="AH65" s="54"/>
      <c r="AI65" s="54"/>
      <c r="AJ65" s="54"/>
      <c r="AK65" s="54"/>
      <c r="AL65" s="31" t="s">
        <v>285</v>
      </c>
      <c r="AM65" s="15" t="s">
        <v>25</v>
      </c>
      <c r="AN65" s="16" t="s">
        <v>204</v>
      </c>
      <c r="AO65" s="16" t="s">
        <v>311</v>
      </c>
      <c r="AP65" s="15" t="s">
        <v>378</v>
      </c>
      <c r="AQ65" s="31" t="s">
        <v>287</v>
      </c>
      <c r="AR65" s="23" t="s">
        <v>279</v>
      </c>
      <c r="AS65" s="31" t="s">
        <v>287</v>
      </c>
      <c r="AT65" s="31" t="s">
        <v>287</v>
      </c>
      <c r="AU65" s="15" t="s">
        <v>379</v>
      </c>
      <c r="AV65" s="16" t="s">
        <v>126</v>
      </c>
      <c r="AW65" s="16" t="s">
        <v>290</v>
      </c>
      <c r="AX65" s="16" t="s">
        <v>380</v>
      </c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</row>
    <row r="66" customFormat="false" ht="105" hidden="false" customHeight="true" outlineLevel="0" collapsed="false">
      <c r="A66" s="18" t="s">
        <v>381</v>
      </c>
      <c r="B66" s="15" t="s">
        <v>278</v>
      </c>
      <c r="C66" s="16" t="s">
        <v>279</v>
      </c>
      <c r="D66" s="31" t="s">
        <v>280</v>
      </c>
      <c r="E66" s="49" t="s">
        <v>281</v>
      </c>
      <c r="F66" s="49" t="s">
        <v>282</v>
      </c>
      <c r="G66" s="16" t="s">
        <v>382</v>
      </c>
      <c r="H66" s="16" t="s">
        <v>113</v>
      </c>
      <c r="I66" s="54" t="n">
        <f aca="false">SUM(J66+P66+V66+AB66+AG66)</f>
        <v>19732.8291</v>
      </c>
      <c r="J66" s="54" t="n">
        <f aca="false">SUM(K66:O66)</f>
        <v>19732.8291</v>
      </c>
      <c r="K66" s="54"/>
      <c r="L66" s="54" t="n">
        <v>19338.17252</v>
      </c>
      <c r="M66" s="54" t="n">
        <v>394.65658</v>
      </c>
      <c r="N66" s="54"/>
      <c r="O66" s="54"/>
      <c r="P66" s="54" t="n">
        <f aca="false">SUM(Q66:U66)</f>
        <v>0</v>
      </c>
      <c r="Q66" s="54"/>
      <c r="R66" s="54"/>
      <c r="S66" s="54"/>
      <c r="T66" s="54"/>
      <c r="U66" s="54"/>
      <c r="V66" s="54" t="n">
        <f aca="false">SUM(W66:AA66)</f>
        <v>0</v>
      </c>
      <c r="W66" s="54"/>
      <c r="X66" s="54"/>
      <c r="Y66" s="54"/>
      <c r="Z66" s="54"/>
      <c r="AA66" s="54"/>
      <c r="AB66" s="54" t="n">
        <f aca="false">SUM(AC66:AF66)</f>
        <v>0</v>
      </c>
      <c r="AC66" s="54"/>
      <c r="AD66" s="54"/>
      <c r="AE66" s="54"/>
      <c r="AF66" s="54"/>
      <c r="AG66" s="54" t="n">
        <f aca="false">SUM(AH66:AK66)</f>
        <v>0</v>
      </c>
      <c r="AH66" s="54"/>
      <c r="AI66" s="54"/>
      <c r="AJ66" s="54"/>
      <c r="AK66" s="54"/>
      <c r="AL66" s="31" t="s">
        <v>285</v>
      </c>
      <c r="AM66" s="15" t="s">
        <v>25</v>
      </c>
      <c r="AN66" s="16" t="s">
        <v>368</v>
      </c>
      <c r="AO66" s="16" t="s">
        <v>151</v>
      </c>
      <c r="AP66" s="16" t="s">
        <v>383</v>
      </c>
      <c r="AQ66" s="16" t="s">
        <v>113</v>
      </c>
      <c r="AR66" s="31" t="s">
        <v>288</v>
      </c>
      <c r="AS66" s="16" t="s">
        <v>153</v>
      </c>
      <c r="AT66" s="16" t="s">
        <v>384</v>
      </c>
      <c r="AU66" s="16" t="s">
        <v>385</v>
      </c>
      <c r="AV66" s="16" t="s">
        <v>155</v>
      </c>
      <c r="AW66" s="16" t="s">
        <v>290</v>
      </c>
      <c r="AX66" s="15" t="s">
        <v>386</v>
      </c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</row>
    <row r="67" customFormat="false" ht="105.75" hidden="false" customHeight="true" outlineLevel="0" collapsed="false">
      <c r="A67" s="18" t="s">
        <v>387</v>
      </c>
      <c r="B67" s="15" t="s">
        <v>278</v>
      </c>
      <c r="C67" s="16" t="s">
        <v>279</v>
      </c>
      <c r="D67" s="31" t="s">
        <v>280</v>
      </c>
      <c r="E67" s="49" t="s">
        <v>281</v>
      </c>
      <c r="F67" s="49" t="s">
        <v>282</v>
      </c>
      <c r="G67" s="16" t="s">
        <v>388</v>
      </c>
      <c r="H67" s="15" t="s">
        <v>58</v>
      </c>
      <c r="I67" s="54" t="n">
        <f aca="false">SUM(J67+P67+V67+AB67+AG67)</f>
        <v>16281.48032</v>
      </c>
      <c r="J67" s="54" t="n">
        <f aca="false">SUM(K67:O67)</f>
        <v>16281.48032</v>
      </c>
      <c r="K67" s="54"/>
      <c r="L67" s="54" t="n">
        <v>16248.91736</v>
      </c>
      <c r="M67" s="54" t="n">
        <v>32.56296</v>
      </c>
      <c r="N67" s="54"/>
      <c r="O67" s="54"/>
      <c r="P67" s="54" t="n">
        <f aca="false">SUM(Q67:U67)</f>
        <v>0</v>
      </c>
      <c r="Q67" s="54"/>
      <c r="R67" s="54"/>
      <c r="S67" s="54"/>
      <c r="T67" s="54"/>
      <c r="U67" s="54"/>
      <c r="V67" s="54" t="n">
        <f aca="false">SUM(W67:AA67)</f>
        <v>0</v>
      </c>
      <c r="W67" s="54"/>
      <c r="X67" s="54"/>
      <c r="Y67" s="54"/>
      <c r="Z67" s="54"/>
      <c r="AA67" s="54"/>
      <c r="AB67" s="54" t="n">
        <f aca="false">SUM(AC67:AF67)</f>
        <v>0</v>
      </c>
      <c r="AC67" s="54"/>
      <c r="AD67" s="54"/>
      <c r="AE67" s="54"/>
      <c r="AF67" s="54"/>
      <c r="AG67" s="54" t="n">
        <f aca="false">SUM(AH67:AK67)</f>
        <v>0</v>
      </c>
      <c r="AH67" s="54"/>
      <c r="AI67" s="54"/>
      <c r="AJ67" s="54"/>
      <c r="AK67" s="54"/>
      <c r="AL67" s="31" t="s">
        <v>285</v>
      </c>
      <c r="AM67" s="15" t="s">
        <v>25</v>
      </c>
      <c r="AN67" s="15" t="s">
        <v>368</v>
      </c>
      <c r="AO67" s="15" t="s">
        <v>389</v>
      </c>
      <c r="AP67" s="15" t="s">
        <v>390</v>
      </c>
      <c r="AQ67" s="16" t="s">
        <v>58</v>
      </c>
      <c r="AR67" s="31" t="s">
        <v>288</v>
      </c>
      <c r="AS67" s="16" t="s">
        <v>258</v>
      </c>
      <c r="AT67" s="16" t="s">
        <v>258</v>
      </c>
      <c r="AU67" s="15" t="s">
        <v>391</v>
      </c>
      <c r="AV67" s="15" t="s">
        <v>155</v>
      </c>
      <c r="AW67" s="16" t="s">
        <v>54</v>
      </c>
      <c r="AX67" s="15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</row>
    <row r="68" customFormat="false" ht="105.75" hidden="false" customHeight="true" outlineLevel="0" collapsed="false">
      <c r="A68" s="18" t="s">
        <v>392</v>
      </c>
      <c r="B68" s="15" t="s">
        <v>278</v>
      </c>
      <c r="C68" s="31" t="s">
        <v>279</v>
      </c>
      <c r="D68" s="31" t="s">
        <v>293</v>
      </c>
      <c r="E68" s="49" t="s">
        <v>281</v>
      </c>
      <c r="F68" s="49" t="s">
        <v>282</v>
      </c>
      <c r="G68" s="31" t="s">
        <v>393</v>
      </c>
      <c r="H68" s="31" t="s">
        <v>262</v>
      </c>
      <c r="I68" s="32" t="n">
        <f aca="false">SUM(J68+P68+V68+AB68+AG68)</f>
        <v>42570.43392</v>
      </c>
      <c r="J68" s="32" t="n">
        <f aca="false">SUM(K68:O68)</f>
        <v>12771.13017</v>
      </c>
      <c r="K68" s="32"/>
      <c r="L68" s="32" t="n">
        <f aca="false">0+41719.02524-29203.31767</f>
        <v>12515.70757</v>
      </c>
      <c r="M68" s="32" t="n">
        <f aca="false">851.40868-595.98608</f>
        <v>255.4226</v>
      </c>
      <c r="N68" s="32"/>
      <c r="O68" s="32"/>
      <c r="P68" s="32" t="n">
        <f aca="false">SUM(Q68:U68)</f>
        <v>29799.30375</v>
      </c>
      <c r="Q68" s="32"/>
      <c r="R68" s="32" t="n">
        <f aca="false">0+29203.31767</f>
        <v>29203.31767</v>
      </c>
      <c r="S68" s="32" t="n">
        <f aca="false">0+595.98608</f>
        <v>595.98608</v>
      </c>
      <c r="T68" s="32"/>
      <c r="U68" s="32"/>
      <c r="V68" s="32" t="n">
        <f aca="false">SUM(W68:AA68)</f>
        <v>0</v>
      </c>
      <c r="W68" s="32"/>
      <c r="X68" s="32"/>
      <c r="Y68" s="32"/>
      <c r="Z68" s="32"/>
      <c r="AA68" s="32"/>
      <c r="AB68" s="32" t="n">
        <f aca="false">SUM(AC68:AF68)</f>
        <v>0</v>
      </c>
      <c r="AC68" s="32"/>
      <c r="AD68" s="32"/>
      <c r="AE68" s="32"/>
      <c r="AF68" s="32"/>
      <c r="AG68" s="32" t="n">
        <f aca="false">SUM(AH68:AK68)</f>
        <v>0</v>
      </c>
      <c r="AH68" s="32"/>
      <c r="AI68" s="32"/>
      <c r="AJ68" s="32"/>
      <c r="AK68" s="32"/>
      <c r="AL68" s="31" t="s">
        <v>394</v>
      </c>
      <c r="AM68" s="31"/>
      <c r="AN68" s="31" t="s">
        <v>26</v>
      </c>
      <c r="AO68" s="31" t="s">
        <v>151</v>
      </c>
      <c r="AP68" s="31" t="s">
        <v>395</v>
      </c>
      <c r="AQ68" s="31" t="s">
        <v>262</v>
      </c>
      <c r="AR68" s="31" t="s">
        <v>288</v>
      </c>
      <c r="AS68" s="31" t="s">
        <v>396</v>
      </c>
      <c r="AT68" s="31" t="s">
        <v>396</v>
      </c>
      <c r="AU68" s="53" t="s">
        <v>397</v>
      </c>
      <c r="AV68" s="31" t="s">
        <v>155</v>
      </c>
      <c r="AW68" s="31" t="s">
        <v>313</v>
      </c>
      <c r="AX68" s="31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</row>
    <row r="69" customFormat="false" ht="105.75" hidden="false" customHeight="true" outlineLevel="0" collapsed="false">
      <c r="A69" s="18" t="s">
        <v>398</v>
      </c>
      <c r="B69" s="15" t="s">
        <v>278</v>
      </c>
      <c r="C69" s="31" t="s">
        <v>279</v>
      </c>
      <c r="D69" s="31" t="s">
        <v>293</v>
      </c>
      <c r="E69" s="49" t="s">
        <v>281</v>
      </c>
      <c r="F69" s="49" t="s">
        <v>282</v>
      </c>
      <c r="G69" s="31" t="s">
        <v>399</v>
      </c>
      <c r="H69" s="31" t="s">
        <v>262</v>
      </c>
      <c r="I69" s="32" t="n">
        <f aca="false">SUM(J69+P69+V69+AB69+AG69)</f>
        <v>42369.91472</v>
      </c>
      <c r="J69" s="32" t="n">
        <f aca="false">SUM(K69:O69)</f>
        <v>12710.97442</v>
      </c>
      <c r="K69" s="32"/>
      <c r="L69" s="32" t="n">
        <f aca="false">0+41522.51643-29065.7615</f>
        <v>12456.75493</v>
      </c>
      <c r="M69" s="32" t="n">
        <f aca="false">847.39829-593.1788</f>
        <v>254.21949</v>
      </c>
      <c r="N69" s="32"/>
      <c r="O69" s="32"/>
      <c r="P69" s="32" t="n">
        <f aca="false">SUM(Q69:U69)</f>
        <v>29658.9403</v>
      </c>
      <c r="Q69" s="32"/>
      <c r="R69" s="32" t="n">
        <f aca="false">0+29065.7615</f>
        <v>29065.7615</v>
      </c>
      <c r="S69" s="32" t="n">
        <f aca="false">0+593.1788</f>
        <v>593.1788</v>
      </c>
      <c r="T69" s="32"/>
      <c r="U69" s="32"/>
      <c r="V69" s="32" t="n">
        <f aca="false">SUM(W69:AA69)</f>
        <v>0</v>
      </c>
      <c r="W69" s="32"/>
      <c r="X69" s="32"/>
      <c r="Y69" s="32"/>
      <c r="Z69" s="32"/>
      <c r="AA69" s="32"/>
      <c r="AB69" s="32" t="n">
        <f aca="false">SUM(AC69:AF69)</f>
        <v>0</v>
      </c>
      <c r="AC69" s="32"/>
      <c r="AD69" s="32"/>
      <c r="AE69" s="32"/>
      <c r="AF69" s="32"/>
      <c r="AG69" s="32" t="n">
        <f aca="false">SUM(AH69:AK69)</f>
        <v>0</v>
      </c>
      <c r="AH69" s="32"/>
      <c r="AI69" s="32"/>
      <c r="AJ69" s="32"/>
      <c r="AK69" s="32"/>
      <c r="AL69" s="31" t="s">
        <v>394</v>
      </c>
      <c r="AM69" s="31"/>
      <c r="AN69" s="31" t="s">
        <v>26</v>
      </c>
      <c r="AO69" s="31" t="s">
        <v>151</v>
      </c>
      <c r="AP69" s="31" t="s">
        <v>400</v>
      </c>
      <c r="AQ69" s="31" t="s">
        <v>262</v>
      </c>
      <c r="AR69" s="31" t="s">
        <v>288</v>
      </c>
      <c r="AS69" s="31" t="s">
        <v>396</v>
      </c>
      <c r="AT69" s="31" t="s">
        <v>396</v>
      </c>
      <c r="AU69" s="53" t="s">
        <v>401</v>
      </c>
      <c r="AV69" s="31" t="s">
        <v>155</v>
      </c>
      <c r="AW69" s="31" t="s">
        <v>313</v>
      </c>
      <c r="AX69" s="31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</row>
    <row r="70" customFormat="false" ht="105.75" hidden="false" customHeight="true" outlineLevel="0" collapsed="false">
      <c r="A70" s="18" t="s">
        <v>402</v>
      </c>
      <c r="B70" s="15" t="s">
        <v>278</v>
      </c>
      <c r="C70" s="31" t="s">
        <v>279</v>
      </c>
      <c r="D70" s="31" t="s">
        <v>280</v>
      </c>
      <c r="E70" s="27" t="s">
        <v>281</v>
      </c>
      <c r="F70" s="49" t="s">
        <v>282</v>
      </c>
      <c r="G70" s="31" t="s">
        <v>403</v>
      </c>
      <c r="H70" s="16" t="s">
        <v>404</v>
      </c>
      <c r="I70" s="32" t="n">
        <f aca="false">SUM(J70+P70+V70+AB70+AG70)</f>
        <v>14795.91837</v>
      </c>
      <c r="J70" s="32" t="n">
        <f aca="false">SUM(K70:O70)</f>
        <v>14795.91837</v>
      </c>
      <c r="K70" s="32"/>
      <c r="L70" s="32" t="n">
        <f aca="false">0+14500</f>
        <v>14500</v>
      </c>
      <c r="M70" s="32" t="n">
        <f aca="false">0+295.91837</f>
        <v>295.91837</v>
      </c>
      <c r="N70" s="32"/>
      <c r="O70" s="32"/>
      <c r="P70" s="32" t="n">
        <f aca="false">SUM(Q70:U70)</f>
        <v>0</v>
      </c>
      <c r="Q70" s="32"/>
      <c r="R70" s="32"/>
      <c r="S70" s="32"/>
      <c r="T70" s="32"/>
      <c r="U70" s="32"/>
      <c r="V70" s="32" t="n">
        <f aca="false">SUM(W70:AA70)</f>
        <v>0</v>
      </c>
      <c r="W70" s="32"/>
      <c r="X70" s="32"/>
      <c r="Y70" s="32"/>
      <c r="Z70" s="32"/>
      <c r="AA70" s="32"/>
      <c r="AB70" s="32" t="n">
        <f aca="false">SUM(AC70:AF70)</f>
        <v>0</v>
      </c>
      <c r="AC70" s="32"/>
      <c r="AD70" s="32"/>
      <c r="AE70" s="32"/>
      <c r="AF70" s="32"/>
      <c r="AG70" s="32" t="n">
        <f aca="false">SUM(AH70:AK70)</f>
        <v>0</v>
      </c>
      <c r="AH70" s="32"/>
      <c r="AI70" s="32"/>
      <c r="AJ70" s="32"/>
      <c r="AK70" s="32"/>
      <c r="AL70" s="31" t="s">
        <v>285</v>
      </c>
      <c r="AM70" s="38"/>
      <c r="AN70" s="38" t="s">
        <v>26</v>
      </c>
      <c r="AO70" s="38" t="s">
        <v>389</v>
      </c>
      <c r="AP70" s="31"/>
      <c r="AQ70" s="16" t="s">
        <v>405</v>
      </c>
      <c r="AR70" s="31" t="s">
        <v>288</v>
      </c>
      <c r="AS70" s="16" t="s">
        <v>406</v>
      </c>
      <c r="AT70" s="31"/>
      <c r="AU70" s="53"/>
      <c r="AV70" s="16" t="s">
        <v>155</v>
      </c>
      <c r="AW70" s="38" t="s">
        <v>90</v>
      </c>
      <c r="AX70" s="31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</row>
    <row r="71" customFormat="false" ht="105.75" hidden="false" customHeight="true" outlineLevel="0" collapsed="false">
      <c r="A71" s="18" t="s">
        <v>407</v>
      </c>
      <c r="B71" s="15" t="s">
        <v>278</v>
      </c>
      <c r="C71" s="31" t="s">
        <v>279</v>
      </c>
      <c r="D71" s="31" t="s">
        <v>280</v>
      </c>
      <c r="E71" s="27" t="s">
        <v>281</v>
      </c>
      <c r="F71" s="49" t="s">
        <v>282</v>
      </c>
      <c r="G71" s="31" t="s">
        <v>408</v>
      </c>
      <c r="H71" s="16" t="s">
        <v>409</v>
      </c>
      <c r="I71" s="32" t="n">
        <f aca="false">SUM(J71+P71+V71+AB71+AG71)</f>
        <v>27121.84518</v>
      </c>
      <c r="J71" s="32" t="n">
        <f aca="false">SUM(K71:O71)</f>
        <v>7433.4</v>
      </c>
      <c r="K71" s="54"/>
      <c r="L71" s="54" t="n">
        <v>7284.732</v>
      </c>
      <c r="M71" s="54" t="n">
        <v>148.668</v>
      </c>
      <c r="N71" s="54"/>
      <c r="O71" s="54"/>
      <c r="P71" s="32" t="n">
        <f aca="false">SUM(Q71:U71)</f>
        <v>19688.44518</v>
      </c>
      <c r="Q71" s="54"/>
      <c r="R71" s="54" t="n">
        <v>19294.67628</v>
      </c>
      <c r="S71" s="55" t="n">
        <v>393.7689</v>
      </c>
      <c r="T71" s="38"/>
      <c r="U71" s="38"/>
      <c r="V71" s="32" t="n">
        <f aca="false">SUM(W71:AA71)</f>
        <v>0</v>
      </c>
      <c r="W71" s="38"/>
      <c r="X71" s="38"/>
      <c r="Y71" s="38"/>
      <c r="Z71" s="38"/>
      <c r="AA71" s="38"/>
      <c r="AB71" s="32" t="n">
        <f aca="false">SUM(AC71:AF71)</f>
        <v>0</v>
      </c>
      <c r="AC71" s="38"/>
      <c r="AD71" s="38"/>
      <c r="AE71" s="38"/>
      <c r="AF71" s="38"/>
      <c r="AG71" s="32" t="n">
        <f aca="false">SUM(AH71:AK71)</f>
        <v>0</v>
      </c>
      <c r="AH71" s="54"/>
      <c r="AI71" s="38"/>
      <c r="AJ71" s="38"/>
      <c r="AK71" s="38"/>
      <c r="AL71" s="31" t="s">
        <v>285</v>
      </c>
      <c r="AM71" s="38" t="s">
        <v>26</v>
      </c>
      <c r="AN71" s="38"/>
      <c r="AO71" s="16" t="s">
        <v>389</v>
      </c>
      <c r="AP71" s="56" t="s">
        <v>410</v>
      </c>
      <c r="AQ71" s="16" t="s">
        <v>244</v>
      </c>
      <c r="AR71" s="31" t="s">
        <v>288</v>
      </c>
      <c r="AS71" s="16" t="s">
        <v>245</v>
      </c>
      <c r="AT71" s="16" t="s">
        <v>245</v>
      </c>
      <c r="AU71" s="55" t="s">
        <v>411</v>
      </c>
      <c r="AV71" s="16" t="s">
        <v>155</v>
      </c>
      <c r="AW71" s="38" t="s">
        <v>412</v>
      </c>
      <c r="AX71" s="38" t="s">
        <v>413</v>
      </c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</row>
    <row r="72" customFormat="false" ht="105.75" hidden="false" customHeight="true" outlineLevel="0" collapsed="false">
      <c r="A72" s="18" t="s">
        <v>414</v>
      </c>
      <c r="B72" s="15" t="s">
        <v>278</v>
      </c>
      <c r="C72" s="31" t="s">
        <v>279</v>
      </c>
      <c r="D72" s="31" t="s">
        <v>280</v>
      </c>
      <c r="E72" s="27" t="s">
        <v>281</v>
      </c>
      <c r="F72" s="49" t="s">
        <v>282</v>
      </c>
      <c r="G72" s="31" t="s">
        <v>415</v>
      </c>
      <c r="H72" s="16" t="s">
        <v>409</v>
      </c>
      <c r="I72" s="32" t="n">
        <f aca="false">SUM(J72+P72+V72+AB72+AG72)</f>
        <v>8969.62272</v>
      </c>
      <c r="J72" s="32" t="n">
        <f aca="false">SUM(K72:O72)</f>
        <v>2784.2981</v>
      </c>
      <c r="K72" s="54"/>
      <c r="L72" s="54" t="n">
        <v>2728.61214</v>
      </c>
      <c r="M72" s="54" t="n">
        <v>55.68596</v>
      </c>
      <c r="N72" s="54"/>
      <c r="O72" s="54"/>
      <c r="P72" s="32" t="n">
        <f aca="false">SUM(Q72:U72)</f>
        <v>6185.32462</v>
      </c>
      <c r="Q72" s="54"/>
      <c r="R72" s="54" t="n">
        <v>6061.61813</v>
      </c>
      <c r="S72" s="55" t="n">
        <v>123.70649</v>
      </c>
      <c r="T72" s="38"/>
      <c r="U72" s="38"/>
      <c r="V72" s="32" t="n">
        <f aca="false">SUM(W72:AA72)</f>
        <v>0</v>
      </c>
      <c r="W72" s="38"/>
      <c r="X72" s="38"/>
      <c r="Y72" s="38"/>
      <c r="Z72" s="38"/>
      <c r="AA72" s="38"/>
      <c r="AB72" s="32" t="n">
        <f aca="false">SUM(AC72:AF72)</f>
        <v>0</v>
      </c>
      <c r="AC72" s="38"/>
      <c r="AD72" s="38"/>
      <c r="AE72" s="38"/>
      <c r="AF72" s="38"/>
      <c r="AG72" s="32" t="n">
        <f aca="false">SUM(AH72:AK72)</f>
        <v>0</v>
      </c>
      <c r="AH72" s="54"/>
      <c r="AI72" s="38"/>
      <c r="AJ72" s="38"/>
      <c r="AK72" s="38"/>
      <c r="AL72" s="31" t="s">
        <v>285</v>
      </c>
      <c r="AM72" s="38" t="s">
        <v>27</v>
      </c>
      <c r="AN72" s="38"/>
      <c r="AO72" s="16" t="s">
        <v>389</v>
      </c>
      <c r="AP72" s="56" t="s">
        <v>416</v>
      </c>
      <c r="AQ72" s="16" t="s">
        <v>244</v>
      </c>
      <c r="AR72" s="31" t="s">
        <v>288</v>
      </c>
      <c r="AS72" s="16" t="s">
        <v>245</v>
      </c>
      <c r="AT72" s="16" t="s">
        <v>245</v>
      </c>
      <c r="AU72" s="57" t="s">
        <v>417</v>
      </c>
      <c r="AV72" s="16" t="s">
        <v>155</v>
      </c>
      <c r="AW72" s="38" t="s">
        <v>412</v>
      </c>
      <c r="AX72" s="38" t="s">
        <v>418</v>
      </c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</row>
    <row r="73" customFormat="false" ht="105.75" hidden="false" customHeight="true" outlineLevel="0" collapsed="false">
      <c r="A73" s="18" t="s">
        <v>419</v>
      </c>
      <c r="B73" s="15" t="s">
        <v>278</v>
      </c>
      <c r="C73" s="31" t="s">
        <v>279</v>
      </c>
      <c r="D73" s="31" t="s">
        <v>280</v>
      </c>
      <c r="E73" s="27" t="s">
        <v>281</v>
      </c>
      <c r="F73" s="49" t="s">
        <v>282</v>
      </c>
      <c r="G73" s="31" t="s">
        <v>420</v>
      </c>
      <c r="H73" s="16" t="s">
        <v>409</v>
      </c>
      <c r="I73" s="32" t="n">
        <f aca="false">SUM(J73+P73+V73+AB73+AG73)</f>
        <v>29765.23447</v>
      </c>
      <c r="J73" s="32" t="n">
        <f aca="false">SUM(K73:O73)</f>
        <v>8157.885</v>
      </c>
      <c r="K73" s="54"/>
      <c r="L73" s="54" t="n">
        <v>7994.7273</v>
      </c>
      <c r="M73" s="54" t="n">
        <v>163.1577</v>
      </c>
      <c r="N73" s="54"/>
      <c r="O73" s="54"/>
      <c r="P73" s="32" t="n">
        <f aca="false">SUM(Q73:U73)</f>
        <v>21607.34947</v>
      </c>
      <c r="Q73" s="54"/>
      <c r="R73" s="54" t="n">
        <v>21175.20248</v>
      </c>
      <c r="S73" s="55" t="n">
        <v>432.14699</v>
      </c>
      <c r="T73" s="38"/>
      <c r="U73" s="38"/>
      <c r="V73" s="32" t="n">
        <f aca="false">SUM(W73:AA73)</f>
        <v>0</v>
      </c>
      <c r="W73" s="38"/>
      <c r="X73" s="38"/>
      <c r="Y73" s="38"/>
      <c r="Z73" s="38"/>
      <c r="AA73" s="38"/>
      <c r="AB73" s="32" t="n">
        <f aca="false">SUM(AC73:AF73)</f>
        <v>0</v>
      </c>
      <c r="AC73" s="38"/>
      <c r="AD73" s="38"/>
      <c r="AE73" s="38"/>
      <c r="AF73" s="38"/>
      <c r="AG73" s="32" t="n">
        <f aca="false">SUM(AH73:AK73)</f>
        <v>0</v>
      </c>
      <c r="AH73" s="54"/>
      <c r="AI73" s="38"/>
      <c r="AJ73" s="38"/>
      <c r="AK73" s="38"/>
      <c r="AL73" s="31" t="s">
        <v>285</v>
      </c>
      <c r="AM73" s="38" t="s">
        <v>28</v>
      </c>
      <c r="AN73" s="38"/>
      <c r="AO73" s="16" t="s">
        <v>389</v>
      </c>
      <c r="AP73" s="56" t="s">
        <v>421</v>
      </c>
      <c r="AQ73" s="16" t="s">
        <v>244</v>
      </c>
      <c r="AR73" s="31" t="s">
        <v>288</v>
      </c>
      <c r="AS73" s="16" t="s">
        <v>245</v>
      </c>
      <c r="AT73" s="16" t="s">
        <v>245</v>
      </c>
      <c r="AU73" s="57" t="s">
        <v>422</v>
      </c>
      <c r="AV73" s="16" t="s">
        <v>155</v>
      </c>
      <c r="AW73" s="38" t="s">
        <v>412</v>
      </c>
      <c r="AX73" s="16" t="s">
        <v>423</v>
      </c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</row>
    <row r="74" customFormat="false" ht="108.75" hidden="false" customHeight="true" outlineLevel="0" collapsed="false">
      <c r="A74" s="18" t="s">
        <v>424</v>
      </c>
      <c r="B74" s="58" t="s">
        <v>425</v>
      </c>
      <c r="C74" s="58" t="s">
        <v>426</v>
      </c>
      <c r="D74" s="59" t="s">
        <v>427</v>
      </c>
      <c r="E74" s="60" t="s">
        <v>428</v>
      </c>
      <c r="F74" s="60" t="s">
        <v>429</v>
      </c>
      <c r="G74" s="59" t="s">
        <v>430</v>
      </c>
      <c r="H74" s="59" t="s">
        <v>244</v>
      </c>
      <c r="I74" s="21" t="n">
        <f aca="false">J74+P74+V74+AB74+AG74</f>
        <v>30000</v>
      </c>
      <c r="J74" s="21" t="n">
        <f aca="false">SUM(K74:O74)</f>
        <v>30000</v>
      </c>
      <c r="K74" s="61"/>
      <c r="L74" s="61" t="n">
        <f aca="false">0+30000</f>
        <v>30000</v>
      </c>
      <c r="M74" s="61"/>
      <c r="N74" s="61"/>
      <c r="O74" s="61"/>
      <c r="P74" s="22" t="n">
        <f aca="false">SUM(Q74:U74)</f>
        <v>0</v>
      </c>
      <c r="Q74" s="61"/>
      <c r="R74" s="61" t="n">
        <f aca="false">30000-30000</f>
        <v>0</v>
      </c>
      <c r="S74" s="61"/>
      <c r="T74" s="61"/>
      <c r="U74" s="61"/>
      <c r="V74" s="22" t="n">
        <f aca="false">SUM(W74:AA74)</f>
        <v>0</v>
      </c>
      <c r="W74" s="61"/>
      <c r="X74" s="61"/>
      <c r="Y74" s="61"/>
      <c r="Z74" s="61"/>
      <c r="AA74" s="61"/>
      <c r="AB74" s="22" t="n">
        <f aca="false">SUM(AC74:AF74)</f>
        <v>0</v>
      </c>
      <c r="AC74" s="61"/>
      <c r="AD74" s="61"/>
      <c r="AE74" s="61"/>
      <c r="AF74" s="61"/>
      <c r="AG74" s="21" t="n">
        <f aca="false">SUM(AH74:AK74)</f>
        <v>0</v>
      </c>
      <c r="AH74" s="61"/>
      <c r="AI74" s="61"/>
      <c r="AJ74" s="61"/>
      <c r="AK74" s="61"/>
      <c r="AL74" s="16" t="s">
        <v>431</v>
      </c>
      <c r="AM74" s="59" t="s">
        <v>25</v>
      </c>
      <c r="AN74" s="59"/>
      <c r="AO74" s="59" t="s">
        <v>276</v>
      </c>
      <c r="AP74" s="59" t="s">
        <v>432</v>
      </c>
      <c r="AQ74" s="58" t="s">
        <v>426</v>
      </c>
      <c r="AR74" s="58" t="s">
        <v>426</v>
      </c>
      <c r="AS74" s="58" t="s">
        <v>426</v>
      </c>
      <c r="AT74" s="58" t="s">
        <v>426</v>
      </c>
      <c r="AU74" s="61" t="s">
        <v>433</v>
      </c>
      <c r="AV74" s="16" t="s">
        <v>53</v>
      </c>
      <c r="AW74" s="58" t="s">
        <v>127</v>
      </c>
      <c r="AX74" s="59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</row>
    <row r="75" customFormat="false" ht="132" hidden="false" customHeight="true" outlineLevel="0" collapsed="false">
      <c r="A75" s="18" t="s">
        <v>434</v>
      </c>
      <c r="B75" s="58" t="s">
        <v>425</v>
      </c>
      <c r="C75" s="58" t="s">
        <v>426</v>
      </c>
      <c r="D75" s="62" t="s">
        <v>435</v>
      </c>
      <c r="E75" s="60" t="s">
        <v>436</v>
      </c>
      <c r="F75" s="60" t="s">
        <v>437</v>
      </c>
      <c r="G75" s="58" t="s">
        <v>438</v>
      </c>
      <c r="H75" s="58" t="s">
        <v>67</v>
      </c>
      <c r="I75" s="21" t="n">
        <f aca="false">J75+P75+V75+AB75+AG75</f>
        <v>2878261.90633</v>
      </c>
      <c r="J75" s="21" t="n">
        <f aca="false">SUM(K75:O75)</f>
        <v>668373.01744</v>
      </c>
      <c r="K75" s="63" t="n">
        <v>625000</v>
      </c>
      <c r="L75" s="63" t="n">
        <f aca="false">1113119.015-1069745.99756</f>
        <v>43373.0174399999</v>
      </c>
      <c r="M75" s="63"/>
      <c r="N75" s="63"/>
      <c r="O75" s="63"/>
      <c r="P75" s="22" t="n">
        <f aca="false">SUM(Q75:U75)</f>
        <v>913838.38384</v>
      </c>
      <c r="Q75" s="63" t="n">
        <v>875000</v>
      </c>
      <c r="R75" s="63" t="n">
        <f aca="false">0+8838.38384+30000</f>
        <v>38838.38384</v>
      </c>
      <c r="S75" s="63"/>
      <c r="T75" s="63"/>
      <c r="U75" s="63"/>
      <c r="V75" s="22" t="n">
        <f aca="false">SUM(W75:AA75)</f>
        <v>1296050.50505</v>
      </c>
      <c r="W75" s="63" t="n">
        <v>1283090</v>
      </c>
      <c r="X75" s="63" t="n">
        <f aca="false">0+12960.50505</f>
        <v>12960.50505</v>
      </c>
      <c r="Y75" s="63"/>
      <c r="Z75" s="63"/>
      <c r="AA75" s="63"/>
      <c r="AB75" s="22" t="n">
        <f aca="false">SUM(AC75:AF75)</f>
        <v>0</v>
      </c>
      <c r="AC75" s="63"/>
      <c r="AD75" s="63"/>
      <c r="AE75" s="63"/>
      <c r="AF75" s="63"/>
      <c r="AG75" s="21" t="n">
        <f aca="false">SUM(AH75:AK75)</f>
        <v>0</v>
      </c>
      <c r="AH75" s="63"/>
      <c r="AI75" s="63"/>
      <c r="AJ75" s="63"/>
      <c r="AK75" s="63"/>
      <c r="AL75" s="64" t="s">
        <v>439</v>
      </c>
      <c r="AM75" s="58" t="s">
        <v>27</v>
      </c>
      <c r="AN75" s="58"/>
      <c r="AO75" s="58" t="s">
        <v>48</v>
      </c>
      <c r="AP75" s="58" t="s">
        <v>440</v>
      </c>
      <c r="AQ75" s="58" t="s">
        <v>441</v>
      </c>
      <c r="AR75" s="58" t="s">
        <v>426</v>
      </c>
      <c r="AS75" s="58" t="s">
        <v>441</v>
      </c>
      <c r="AT75" s="58" t="s">
        <v>441</v>
      </c>
      <c r="AU75" s="61" t="s">
        <v>442</v>
      </c>
      <c r="AV75" s="16" t="s">
        <v>53</v>
      </c>
      <c r="AW75" s="58" t="s">
        <v>54</v>
      </c>
      <c r="AX75" s="58" t="s">
        <v>443</v>
      </c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</row>
    <row r="76" customFormat="false" ht="132" hidden="false" customHeight="true" outlineLevel="0" collapsed="false">
      <c r="A76" s="18" t="s">
        <v>444</v>
      </c>
      <c r="B76" s="58" t="s">
        <v>425</v>
      </c>
      <c r="C76" s="58" t="s">
        <v>426</v>
      </c>
      <c r="D76" s="62" t="s">
        <v>445</v>
      </c>
      <c r="E76" s="60" t="s">
        <v>436</v>
      </c>
      <c r="F76" s="60" t="s">
        <v>446</v>
      </c>
      <c r="G76" s="58" t="s">
        <v>447</v>
      </c>
      <c r="H76" s="58" t="s">
        <v>113</v>
      </c>
      <c r="I76" s="21" t="n">
        <f aca="false">J76+P76+V76+AB76+AG76</f>
        <v>1098400</v>
      </c>
      <c r="J76" s="21" t="n">
        <f aca="false">SUM(K76:O76)</f>
        <v>4700</v>
      </c>
      <c r="K76" s="63"/>
      <c r="L76" s="63" t="n">
        <v>4700</v>
      </c>
      <c r="M76" s="61"/>
      <c r="N76" s="63"/>
      <c r="O76" s="63"/>
      <c r="P76" s="22" t="n">
        <f aca="false">SUM(Q76:U76)</f>
        <v>470000</v>
      </c>
      <c r="Q76" s="63"/>
      <c r="R76" s="63" t="n">
        <v>470000</v>
      </c>
      <c r="S76" s="61"/>
      <c r="T76" s="63"/>
      <c r="U76" s="63"/>
      <c r="V76" s="22" t="n">
        <f aca="false">SUM(W76:AA76)</f>
        <v>623700</v>
      </c>
      <c r="W76" s="63"/>
      <c r="X76" s="61" t="n">
        <v>623700</v>
      </c>
      <c r="Y76" s="63"/>
      <c r="Z76" s="63"/>
      <c r="AA76" s="63"/>
      <c r="AB76" s="22" t="n">
        <f aca="false">SUM(AC76:AF76)</f>
        <v>0</v>
      </c>
      <c r="AC76" s="63"/>
      <c r="AD76" s="63"/>
      <c r="AE76" s="63"/>
      <c r="AF76" s="63"/>
      <c r="AG76" s="21" t="n">
        <f aca="false">SUM(AH76:AK76)</f>
        <v>0</v>
      </c>
      <c r="AH76" s="63"/>
      <c r="AI76" s="63"/>
      <c r="AJ76" s="63"/>
      <c r="AK76" s="63"/>
      <c r="AL76" s="62" t="s">
        <v>448</v>
      </c>
      <c r="AM76" s="58" t="s">
        <v>27</v>
      </c>
      <c r="AN76" s="58"/>
      <c r="AO76" s="58" t="s">
        <v>48</v>
      </c>
      <c r="AP76" s="58" t="s">
        <v>449</v>
      </c>
      <c r="AQ76" s="58" t="s">
        <v>441</v>
      </c>
      <c r="AR76" s="58" t="s">
        <v>426</v>
      </c>
      <c r="AS76" s="58" t="s">
        <v>441</v>
      </c>
      <c r="AT76" s="58" t="s">
        <v>441</v>
      </c>
      <c r="AU76" s="61" t="s">
        <v>450</v>
      </c>
      <c r="AV76" s="16" t="s">
        <v>53</v>
      </c>
      <c r="AW76" s="58" t="s">
        <v>54</v>
      </c>
      <c r="AX76" s="58" t="s">
        <v>451</v>
      </c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</row>
    <row r="77" customFormat="false" ht="133.5" hidden="false" customHeight="true" outlineLevel="0" collapsed="false">
      <c r="A77" s="18" t="s">
        <v>452</v>
      </c>
      <c r="B77" s="58" t="s">
        <v>425</v>
      </c>
      <c r="C77" s="58" t="s">
        <v>426</v>
      </c>
      <c r="D77" s="62" t="s">
        <v>445</v>
      </c>
      <c r="E77" s="60" t="s">
        <v>436</v>
      </c>
      <c r="F77" s="60" t="s">
        <v>446</v>
      </c>
      <c r="G77" s="58" t="s">
        <v>453</v>
      </c>
      <c r="H77" s="58" t="s">
        <v>113</v>
      </c>
      <c r="I77" s="21" t="n">
        <f aca="false">J77+P77+V77+AB77+AG77</f>
        <v>318991.52294</v>
      </c>
      <c r="J77" s="21" t="n">
        <f aca="false">SUM(K77:O77)</f>
        <v>0</v>
      </c>
      <c r="K77" s="63"/>
      <c r="L77" s="63"/>
      <c r="M77" s="63"/>
      <c r="N77" s="63"/>
      <c r="O77" s="63"/>
      <c r="P77" s="22" t="n">
        <f aca="false">SUM(Q77:U77)</f>
        <v>318991.52294</v>
      </c>
      <c r="Q77" s="63"/>
      <c r="R77" s="63" t="n">
        <f aca="false">287092.37065</f>
        <v>287092.37065</v>
      </c>
      <c r="S77" s="63" t="n">
        <v>31899.15229</v>
      </c>
      <c r="T77" s="63"/>
      <c r="U77" s="63"/>
      <c r="V77" s="22" t="n">
        <f aca="false">SUM(W77:AA77)</f>
        <v>0</v>
      </c>
      <c r="W77" s="63"/>
      <c r="X77" s="63"/>
      <c r="Y77" s="63"/>
      <c r="Z77" s="63"/>
      <c r="AA77" s="63"/>
      <c r="AB77" s="22" t="n">
        <f aca="false">SUM(AC77:AF77)</f>
        <v>0</v>
      </c>
      <c r="AC77" s="63"/>
      <c r="AD77" s="63"/>
      <c r="AE77" s="63"/>
      <c r="AF77" s="63"/>
      <c r="AG77" s="21" t="n">
        <f aca="false">SUM(AH77:AK77)</f>
        <v>0</v>
      </c>
      <c r="AH77" s="63"/>
      <c r="AI77" s="63"/>
      <c r="AJ77" s="63"/>
      <c r="AK77" s="63"/>
      <c r="AL77" s="62" t="s">
        <v>448</v>
      </c>
      <c r="AM77" s="58" t="s">
        <v>26</v>
      </c>
      <c r="AN77" s="58"/>
      <c r="AO77" s="58" t="s">
        <v>151</v>
      </c>
      <c r="AP77" s="65" t="s">
        <v>454</v>
      </c>
      <c r="AQ77" s="58" t="s">
        <v>113</v>
      </c>
      <c r="AR77" s="58" t="s">
        <v>426</v>
      </c>
      <c r="AS77" s="58" t="s">
        <v>455</v>
      </c>
      <c r="AT77" s="58" t="s">
        <v>153</v>
      </c>
      <c r="AU77" s="61" t="s">
        <v>456</v>
      </c>
      <c r="AV77" s="58" t="s">
        <v>155</v>
      </c>
      <c r="AW77" s="58" t="s">
        <v>54</v>
      </c>
      <c r="AX77" s="58" t="s">
        <v>457</v>
      </c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</row>
    <row r="78" customFormat="false" ht="133.5" hidden="false" customHeight="true" outlineLevel="0" collapsed="false">
      <c r="A78" s="18" t="s">
        <v>458</v>
      </c>
      <c r="B78" s="58" t="s">
        <v>425</v>
      </c>
      <c r="C78" s="58" t="s">
        <v>426</v>
      </c>
      <c r="D78" s="62" t="s">
        <v>445</v>
      </c>
      <c r="E78" s="60" t="s">
        <v>436</v>
      </c>
      <c r="F78" s="60" t="s">
        <v>446</v>
      </c>
      <c r="G78" s="58" t="s">
        <v>459</v>
      </c>
      <c r="H78" s="59" t="s">
        <v>244</v>
      </c>
      <c r="I78" s="21" t="n">
        <f aca="false">J78+P78+V78+AB78+AG78</f>
        <v>326195.51055</v>
      </c>
      <c r="J78" s="21" t="n">
        <f aca="false">SUM(K78:O78)</f>
        <v>20649.7823</v>
      </c>
      <c r="K78" s="61"/>
      <c r="L78" s="21" t="n">
        <f aca="false">0+30000-9350.2177</f>
        <v>20649.7823</v>
      </c>
      <c r="M78" s="63"/>
      <c r="N78" s="63"/>
      <c r="O78" s="63"/>
      <c r="P78" s="22" t="n">
        <f aca="false">SUM(Q78:U78)</f>
        <v>100000</v>
      </c>
      <c r="Q78" s="63"/>
      <c r="R78" s="61" t="n">
        <v>100000</v>
      </c>
      <c r="S78" s="63"/>
      <c r="T78" s="63"/>
      <c r="U78" s="63"/>
      <c r="V78" s="22" t="n">
        <f aca="false">SUM(W78:AA78)</f>
        <v>205545.72825</v>
      </c>
      <c r="W78" s="63"/>
      <c r="X78" s="63" t="n">
        <v>205545.72825</v>
      </c>
      <c r="Y78" s="63"/>
      <c r="Z78" s="63"/>
      <c r="AA78" s="63"/>
      <c r="AB78" s="22" t="n">
        <f aca="false">SUM(AC78:AF78)</f>
        <v>0</v>
      </c>
      <c r="AC78" s="63"/>
      <c r="AD78" s="63"/>
      <c r="AE78" s="63"/>
      <c r="AF78" s="63"/>
      <c r="AG78" s="21" t="n">
        <f aca="false">SUM(AH78:AK78)</f>
        <v>0</v>
      </c>
      <c r="AH78" s="63"/>
      <c r="AI78" s="63"/>
      <c r="AJ78" s="63"/>
      <c r="AK78" s="63"/>
      <c r="AL78" s="62" t="s">
        <v>448</v>
      </c>
      <c r="AM78" s="58" t="s">
        <v>27</v>
      </c>
      <c r="AN78" s="58"/>
      <c r="AO78" s="58" t="s">
        <v>48</v>
      </c>
      <c r="AP78" s="58" t="s">
        <v>460</v>
      </c>
      <c r="AQ78" s="58" t="s">
        <v>441</v>
      </c>
      <c r="AR78" s="58" t="s">
        <v>426</v>
      </c>
      <c r="AS78" s="58" t="s">
        <v>441</v>
      </c>
      <c r="AT78" s="58" t="s">
        <v>441</v>
      </c>
      <c r="AU78" s="61" t="s">
        <v>461</v>
      </c>
      <c r="AV78" s="16" t="s">
        <v>53</v>
      </c>
      <c r="AW78" s="58" t="s">
        <v>412</v>
      </c>
      <c r="AX78" s="58" t="s">
        <v>462</v>
      </c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</row>
    <row r="79" customFormat="false" ht="102" hidden="false" customHeight="true" outlineLevel="0" collapsed="false">
      <c r="A79" s="18" t="s">
        <v>463</v>
      </c>
      <c r="B79" s="58" t="s">
        <v>425</v>
      </c>
      <c r="C79" s="58" t="s">
        <v>426</v>
      </c>
      <c r="D79" s="62" t="s">
        <v>445</v>
      </c>
      <c r="E79" s="60" t="s">
        <v>436</v>
      </c>
      <c r="F79" s="60" t="s">
        <v>446</v>
      </c>
      <c r="G79" s="58" t="s">
        <v>464</v>
      </c>
      <c r="H79" s="58" t="s">
        <v>113</v>
      </c>
      <c r="I79" s="21" t="n">
        <f aca="false">J79+P79+V79+AB79+AG79</f>
        <v>4335811.112</v>
      </c>
      <c r="J79" s="21" t="n">
        <f aca="false">SUM(K79:O79)</f>
        <v>11111.112</v>
      </c>
      <c r="K79" s="63"/>
      <c r="L79" s="63" t="n">
        <f aca="false">0+10000</f>
        <v>10000</v>
      </c>
      <c r="M79" s="63" t="n">
        <f aca="false">0+1111.112</f>
        <v>1111.112</v>
      </c>
      <c r="N79" s="63"/>
      <c r="O79" s="63"/>
      <c r="P79" s="22" t="n">
        <f aca="false">SUM(Q79:U79)</f>
        <v>1520000</v>
      </c>
      <c r="Q79" s="66"/>
      <c r="R79" s="61" t="n">
        <v>1000000</v>
      </c>
      <c r="S79" s="63" t="n">
        <v>520000</v>
      </c>
      <c r="T79" s="63"/>
      <c r="U79" s="63"/>
      <c r="V79" s="22" t="n">
        <f aca="false">SUM(W79:AA79)</f>
        <v>1009450</v>
      </c>
      <c r="W79" s="63"/>
      <c r="X79" s="63" t="n">
        <v>1000000</v>
      </c>
      <c r="Y79" s="63" t="n">
        <v>9450</v>
      </c>
      <c r="Z79" s="63"/>
      <c r="AA79" s="63"/>
      <c r="AB79" s="22" t="n">
        <f aca="false">SUM(AC79:AF79)</f>
        <v>1795250</v>
      </c>
      <c r="AC79" s="63" t="n">
        <v>150000</v>
      </c>
      <c r="AD79" s="63" t="n">
        <v>1120250</v>
      </c>
      <c r="AE79" s="63" t="n">
        <v>525000</v>
      </c>
      <c r="AF79" s="63"/>
      <c r="AG79" s="21" t="n">
        <f aca="false">SUM(AH79:AK79)</f>
        <v>0</v>
      </c>
      <c r="AH79" s="63"/>
      <c r="AI79" s="63"/>
      <c r="AJ79" s="63"/>
      <c r="AK79" s="63"/>
      <c r="AL79" s="62" t="s">
        <v>448</v>
      </c>
      <c r="AM79" s="58" t="s">
        <v>27</v>
      </c>
      <c r="AN79" s="58"/>
      <c r="AO79" s="58" t="s">
        <v>151</v>
      </c>
      <c r="AP79" s="64" t="s">
        <v>465</v>
      </c>
      <c r="AQ79" s="58" t="s">
        <v>113</v>
      </c>
      <c r="AR79" s="58" t="s">
        <v>426</v>
      </c>
      <c r="AS79" s="58" t="s">
        <v>455</v>
      </c>
      <c r="AT79" s="58" t="s">
        <v>153</v>
      </c>
      <c r="AU79" s="61" t="s">
        <v>466</v>
      </c>
      <c r="AV79" s="58" t="s">
        <v>155</v>
      </c>
      <c r="AW79" s="58" t="s">
        <v>412</v>
      </c>
      <c r="AX79" s="58" t="s">
        <v>467</v>
      </c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</row>
    <row r="80" customFormat="false" ht="91" hidden="false" customHeight="false" outlineLevel="0" collapsed="false">
      <c r="A80" s="18" t="s">
        <v>468</v>
      </c>
      <c r="B80" s="58" t="s">
        <v>425</v>
      </c>
      <c r="C80" s="58" t="s">
        <v>426</v>
      </c>
      <c r="D80" s="62" t="s">
        <v>445</v>
      </c>
      <c r="E80" s="60" t="s">
        <v>436</v>
      </c>
      <c r="F80" s="60" t="s">
        <v>446</v>
      </c>
      <c r="G80" s="58" t="s">
        <v>469</v>
      </c>
      <c r="H80" s="58" t="s">
        <v>113</v>
      </c>
      <c r="I80" s="21" t="n">
        <f aca="false">J80+P80+V80+AB80+AG80</f>
        <v>115061.91919</v>
      </c>
      <c r="J80" s="21" t="n">
        <f aca="false">SUM(K80:O80)</f>
        <v>115061.91919</v>
      </c>
      <c r="K80" s="63" t="n">
        <v>112772.2</v>
      </c>
      <c r="L80" s="63" t="n">
        <v>1139.1</v>
      </c>
      <c r="M80" s="63" t="n">
        <f aca="false">0+1150.61919</f>
        <v>1150.61919</v>
      </c>
      <c r="N80" s="63"/>
      <c r="O80" s="63"/>
      <c r="P80" s="22" t="n">
        <f aca="false">SUM(Q80:U80)</f>
        <v>0</v>
      </c>
      <c r="Q80" s="63"/>
      <c r="R80" s="63"/>
      <c r="S80" s="63"/>
      <c r="T80" s="63"/>
      <c r="U80" s="63"/>
      <c r="V80" s="22" t="n">
        <f aca="false">SUM(W80:AA80)</f>
        <v>0</v>
      </c>
      <c r="W80" s="63"/>
      <c r="X80" s="63"/>
      <c r="Y80" s="63"/>
      <c r="Z80" s="63"/>
      <c r="AA80" s="63"/>
      <c r="AB80" s="22" t="n">
        <f aca="false">SUM(AC80:AF80)</f>
        <v>0</v>
      </c>
      <c r="AC80" s="63"/>
      <c r="AD80" s="63"/>
      <c r="AE80" s="63"/>
      <c r="AF80" s="63"/>
      <c r="AG80" s="21" t="n">
        <f aca="false">SUM(AH80:AK80)</f>
        <v>0</v>
      </c>
      <c r="AH80" s="63"/>
      <c r="AI80" s="63"/>
      <c r="AJ80" s="63"/>
      <c r="AK80" s="63"/>
      <c r="AL80" s="62" t="s">
        <v>448</v>
      </c>
      <c r="AM80" s="59" t="s">
        <v>25</v>
      </c>
      <c r="AN80" s="58"/>
      <c r="AO80" s="58" t="s">
        <v>151</v>
      </c>
      <c r="AP80" s="64" t="s">
        <v>470</v>
      </c>
      <c r="AQ80" s="58" t="s">
        <v>113</v>
      </c>
      <c r="AR80" s="58" t="s">
        <v>426</v>
      </c>
      <c r="AS80" s="58" t="s">
        <v>455</v>
      </c>
      <c r="AT80" s="58" t="s">
        <v>153</v>
      </c>
      <c r="AU80" s="61" t="s">
        <v>471</v>
      </c>
      <c r="AV80" s="58" t="s">
        <v>155</v>
      </c>
      <c r="AW80" s="58" t="s">
        <v>412</v>
      </c>
      <c r="AX80" s="58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</row>
    <row r="81" customFormat="false" ht="91" hidden="false" customHeight="false" outlineLevel="0" collapsed="false">
      <c r="A81" s="18" t="s">
        <v>472</v>
      </c>
      <c r="B81" s="58" t="s">
        <v>425</v>
      </c>
      <c r="C81" s="58" t="s">
        <v>426</v>
      </c>
      <c r="D81" s="62" t="s">
        <v>445</v>
      </c>
      <c r="E81" s="60" t="s">
        <v>436</v>
      </c>
      <c r="F81" s="60" t="s">
        <v>446</v>
      </c>
      <c r="G81" s="58" t="s">
        <v>473</v>
      </c>
      <c r="H81" s="58" t="s">
        <v>113</v>
      </c>
      <c r="I81" s="21" t="n">
        <f aca="false">J81+P81+V81+AB81+AG81</f>
        <v>93895.45455</v>
      </c>
      <c r="J81" s="21" t="n">
        <f aca="false">SUM(K81:O81)</f>
        <v>93895.45455</v>
      </c>
      <c r="K81" s="63" t="n">
        <v>92026.9</v>
      </c>
      <c r="L81" s="63" t="n">
        <v>929.6</v>
      </c>
      <c r="M81" s="63" t="n">
        <f aca="false">0+938.95455</f>
        <v>938.95455</v>
      </c>
      <c r="N81" s="63"/>
      <c r="O81" s="63"/>
      <c r="P81" s="22" t="n">
        <f aca="false">SUM(Q81:U81)</f>
        <v>0</v>
      </c>
      <c r="Q81" s="63"/>
      <c r="R81" s="63"/>
      <c r="S81" s="63"/>
      <c r="T81" s="63"/>
      <c r="U81" s="63"/>
      <c r="V81" s="22" t="n">
        <f aca="false">SUM(W81:AA81)</f>
        <v>0</v>
      </c>
      <c r="W81" s="63"/>
      <c r="X81" s="63"/>
      <c r="Y81" s="63"/>
      <c r="Z81" s="63"/>
      <c r="AA81" s="63"/>
      <c r="AB81" s="22" t="n">
        <f aca="false">SUM(AC81:AF81)</f>
        <v>0</v>
      </c>
      <c r="AC81" s="63"/>
      <c r="AD81" s="63"/>
      <c r="AE81" s="63"/>
      <c r="AF81" s="63"/>
      <c r="AG81" s="21" t="n">
        <f aca="false">SUM(AH81:AK81)</f>
        <v>0</v>
      </c>
      <c r="AH81" s="63"/>
      <c r="AI81" s="63"/>
      <c r="AJ81" s="63"/>
      <c r="AK81" s="63"/>
      <c r="AL81" s="62" t="s">
        <v>448</v>
      </c>
      <c r="AM81" s="59" t="s">
        <v>25</v>
      </c>
      <c r="AN81" s="58"/>
      <c r="AO81" s="58" t="s">
        <v>151</v>
      </c>
      <c r="AP81" s="65" t="s">
        <v>474</v>
      </c>
      <c r="AQ81" s="58" t="s">
        <v>113</v>
      </c>
      <c r="AR81" s="58" t="s">
        <v>426</v>
      </c>
      <c r="AS81" s="58" t="s">
        <v>455</v>
      </c>
      <c r="AT81" s="58" t="s">
        <v>153</v>
      </c>
      <c r="AU81" s="61" t="s">
        <v>475</v>
      </c>
      <c r="AV81" s="58" t="s">
        <v>155</v>
      </c>
      <c r="AW81" s="58" t="s">
        <v>412</v>
      </c>
      <c r="AX81" s="58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</row>
    <row r="82" customFormat="false" ht="109.5" hidden="false" customHeight="true" outlineLevel="0" collapsed="false">
      <c r="A82" s="18" t="s">
        <v>476</v>
      </c>
      <c r="B82" s="58" t="s">
        <v>425</v>
      </c>
      <c r="C82" s="67" t="s">
        <v>426</v>
      </c>
      <c r="D82" s="62" t="s">
        <v>445</v>
      </c>
      <c r="E82" s="60" t="s">
        <v>436</v>
      </c>
      <c r="F82" s="60" t="s">
        <v>446</v>
      </c>
      <c r="G82" s="58" t="s">
        <v>477</v>
      </c>
      <c r="H82" s="58" t="s">
        <v>113</v>
      </c>
      <c r="I82" s="21" t="n">
        <f aca="false">J82+P82+V82+AB82+AG82</f>
        <v>114593.13131</v>
      </c>
      <c r="J82" s="21" t="n">
        <f aca="false">SUM(K82:O82)</f>
        <v>114593.13131</v>
      </c>
      <c r="K82" s="63" t="n">
        <v>112312.7</v>
      </c>
      <c r="L82" s="63" t="n">
        <v>1134.5</v>
      </c>
      <c r="M82" s="63" t="n">
        <f aca="false">0+1145.93131</f>
        <v>1145.93131</v>
      </c>
      <c r="N82" s="63"/>
      <c r="O82" s="63"/>
      <c r="P82" s="22" t="n">
        <f aca="false">SUM(Q82:U82)</f>
        <v>0</v>
      </c>
      <c r="Q82" s="63"/>
      <c r="R82" s="63"/>
      <c r="S82" s="63"/>
      <c r="T82" s="63"/>
      <c r="U82" s="63"/>
      <c r="V82" s="22" t="n">
        <f aca="false">SUM(W82:AA82)</f>
        <v>0</v>
      </c>
      <c r="W82" s="63"/>
      <c r="X82" s="63"/>
      <c r="Y82" s="63"/>
      <c r="Z82" s="63"/>
      <c r="AA82" s="63"/>
      <c r="AB82" s="22" t="n">
        <f aca="false">SUM(AC82:AF82)</f>
        <v>0</v>
      </c>
      <c r="AC82" s="63"/>
      <c r="AD82" s="63"/>
      <c r="AE82" s="63"/>
      <c r="AF82" s="63"/>
      <c r="AG82" s="21" t="n">
        <f aca="false">SUM(AH82:AK82)</f>
        <v>0</v>
      </c>
      <c r="AH82" s="63"/>
      <c r="AI82" s="63"/>
      <c r="AJ82" s="63"/>
      <c r="AK82" s="63"/>
      <c r="AL82" s="62" t="s">
        <v>448</v>
      </c>
      <c r="AM82" s="59" t="s">
        <v>25</v>
      </c>
      <c r="AN82" s="58"/>
      <c r="AO82" s="58" t="s">
        <v>151</v>
      </c>
      <c r="AP82" s="65" t="s">
        <v>478</v>
      </c>
      <c r="AQ82" s="58" t="s">
        <v>113</v>
      </c>
      <c r="AR82" s="58" t="s">
        <v>426</v>
      </c>
      <c r="AS82" s="58" t="s">
        <v>455</v>
      </c>
      <c r="AT82" s="58" t="s">
        <v>153</v>
      </c>
      <c r="AU82" s="61" t="s">
        <v>479</v>
      </c>
      <c r="AV82" s="58" t="s">
        <v>155</v>
      </c>
      <c r="AW82" s="58" t="s">
        <v>412</v>
      </c>
      <c r="AX82" s="58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</row>
    <row r="83" customFormat="false" ht="76.5" hidden="false" customHeight="false" outlineLevel="0" collapsed="false">
      <c r="A83" s="18" t="s">
        <v>480</v>
      </c>
      <c r="B83" s="58" t="s">
        <v>425</v>
      </c>
      <c r="C83" s="58" t="s">
        <v>426</v>
      </c>
      <c r="D83" s="59" t="s">
        <v>427</v>
      </c>
      <c r="E83" s="60" t="s">
        <v>428</v>
      </c>
      <c r="F83" s="60" t="s">
        <v>429</v>
      </c>
      <c r="G83" s="59" t="s">
        <v>481</v>
      </c>
      <c r="H83" s="59" t="s">
        <v>244</v>
      </c>
      <c r="I83" s="21" t="n">
        <f aca="false">J83+P83+V83+AB83+AG83</f>
        <v>66088.8</v>
      </c>
      <c r="J83" s="21" t="n">
        <f aca="false">SUM(K83:O83)</f>
        <v>66088.8</v>
      </c>
      <c r="K83" s="61"/>
      <c r="L83" s="61" t="n">
        <v>66088.8</v>
      </c>
      <c r="M83" s="61"/>
      <c r="N83" s="61"/>
      <c r="O83" s="61"/>
      <c r="P83" s="22" t="n">
        <f aca="false">SUM(Q83:U83)</f>
        <v>0</v>
      </c>
      <c r="Q83" s="61"/>
      <c r="R83" s="61"/>
      <c r="S83" s="61"/>
      <c r="T83" s="61"/>
      <c r="U83" s="61"/>
      <c r="V83" s="22" t="n">
        <f aca="false">SUM(W83:AA83)</f>
        <v>0</v>
      </c>
      <c r="W83" s="61"/>
      <c r="X83" s="61"/>
      <c r="Y83" s="61"/>
      <c r="Z83" s="61"/>
      <c r="AA83" s="61"/>
      <c r="AB83" s="22" t="n">
        <f aca="false">SUM(AC83:AF83)</f>
        <v>0</v>
      </c>
      <c r="AC83" s="61"/>
      <c r="AD83" s="61"/>
      <c r="AE83" s="61"/>
      <c r="AF83" s="61"/>
      <c r="AG83" s="21" t="n">
        <f aca="false">SUM(AH83:AK83)</f>
        <v>0</v>
      </c>
      <c r="AH83" s="61"/>
      <c r="AI83" s="61"/>
      <c r="AJ83" s="61"/>
      <c r="AK83" s="61"/>
      <c r="AL83" s="64" t="s">
        <v>431</v>
      </c>
      <c r="AM83" s="59" t="s">
        <v>25</v>
      </c>
      <c r="AN83" s="59"/>
      <c r="AO83" s="59" t="s">
        <v>276</v>
      </c>
      <c r="AP83" s="59" t="s">
        <v>482</v>
      </c>
      <c r="AQ83" s="58" t="s">
        <v>426</v>
      </c>
      <c r="AR83" s="58" t="s">
        <v>426</v>
      </c>
      <c r="AS83" s="58" t="s">
        <v>426</v>
      </c>
      <c r="AT83" s="58" t="s">
        <v>426</v>
      </c>
      <c r="AU83" s="61" t="s">
        <v>483</v>
      </c>
      <c r="AV83" s="16" t="s">
        <v>53</v>
      </c>
      <c r="AW83" s="58" t="s">
        <v>127</v>
      </c>
      <c r="AX83" s="59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</row>
    <row r="84" customFormat="false" ht="141" hidden="false" customHeight="true" outlineLevel="0" collapsed="false">
      <c r="A84" s="18" t="s">
        <v>484</v>
      </c>
      <c r="B84" s="58" t="s">
        <v>425</v>
      </c>
      <c r="C84" s="19" t="s">
        <v>41</v>
      </c>
      <c r="D84" s="23" t="s">
        <v>485</v>
      </c>
      <c r="E84" s="20" t="s">
        <v>436</v>
      </c>
      <c r="F84" s="60" t="s">
        <v>446</v>
      </c>
      <c r="G84" s="19" t="s">
        <v>486</v>
      </c>
      <c r="H84" s="19" t="s">
        <v>113</v>
      </c>
      <c r="I84" s="21" t="n">
        <f aca="false">J84+P84+V84+AB84+AG84</f>
        <v>454428</v>
      </c>
      <c r="J84" s="21" t="n">
        <f aca="false">SUM(K84:O84)</f>
        <v>454428</v>
      </c>
      <c r="K84" s="37" t="n">
        <v>402735</v>
      </c>
      <c r="L84" s="37" t="n">
        <f aca="false">51693</f>
        <v>51693</v>
      </c>
      <c r="M84" s="22"/>
      <c r="N84" s="22"/>
      <c r="O84" s="22"/>
      <c r="P84" s="22" t="n">
        <f aca="false">SUM(Q84:U84)</f>
        <v>0</v>
      </c>
      <c r="Q84" s="22"/>
      <c r="R84" s="22"/>
      <c r="S84" s="22"/>
      <c r="T84" s="22"/>
      <c r="U84" s="22"/>
      <c r="V84" s="22" t="n">
        <f aca="false">SUM(W84:AA84)</f>
        <v>0</v>
      </c>
      <c r="W84" s="22"/>
      <c r="X84" s="22"/>
      <c r="Y84" s="22"/>
      <c r="Z84" s="22"/>
      <c r="AA84" s="22"/>
      <c r="AB84" s="22" t="n">
        <f aca="false">SUM(AC84:AF84)</f>
        <v>0</v>
      </c>
      <c r="AC84" s="22"/>
      <c r="AD84" s="22"/>
      <c r="AE84" s="22"/>
      <c r="AF84" s="22"/>
      <c r="AG84" s="21" t="n">
        <f aca="false">SUM(AH84:AK84)</f>
        <v>0</v>
      </c>
      <c r="AH84" s="22"/>
      <c r="AI84" s="22"/>
      <c r="AJ84" s="22"/>
      <c r="AK84" s="22"/>
      <c r="AL84" s="19" t="s">
        <v>487</v>
      </c>
      <c r="AM84" s="19" t="s">
        <v>25</v>
      </c>
      <c r="AN84" s="19"/>
      <c r="AO84" s="19" t="s">
        <v>48</v>
      </c>
      <c r="AP84" s="19" t="s">
        <v>488</v>
      </c>
      <c r="AQ84" s="19" t="s">
        <v>50</v>
      </c>
      <c r="AR84" s="19" t="s">
        <v>426</v>
      </c>
      <c r="AS84" s="19" t="s">
        <v>41</v>
      </c>
      <c r="AT84" s="19" t="s">
        <v>50</v>
      </c>
      <c r="AU84" s="19" t="s">
        <v>489</v>
      </c>
      <c r="AV84" s="16" t="s">
        <v>53</v>
      </c>
      <c r="AW84" s="19" t="s">
        <v>54</v>
      </c>
      <c r="AX84" s="19" t="s">
        <v>490</v>
      </c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</row>
    <row r="85" customFormat="false" ht="141" hidden="false" customHeight="true" outlineLevel="0" collapsed="false">
      <c r="A85" s="18" t="s">
        <v>491</v>
      </c>
      <c r="B85" s="58" t="s">
        <v>425</v>
      </c>
      <c r="C85" s="68" t="s">
        <v>426</v>
      </c>
      <c r="D85" s="68" t="s">
        <v>445</v>
      </c>
      <c r="E85" s="69" t="s">
        <v>436</v>
      </c>
      <c r="F85" s="68" t="s">
        <v>446</v>
      </c>
      <c r="G85" s="68" t="s">
        <v>492</v>
      </c>
      <c r="H85" s="68" t="s">
        <v>113</v>
      </c>
      <c r="I85" s="21" t="n">
        <f aca="false">J85+P85+V85+AB85+AG85</f>
        <v>161716.49772</v>
      </c>
      <c r="J85" s="21" t="n">
        <f aca="false">SUM(K85:O85)</f>
        <v>0</v>
      </c>
      <c r="K85" s="37"/>
      <c r="L85" s="37"/>
      <c r="M85" s="22"/>
      <c r="N85" s="22"/>
      <c r="O85" s="22"/>
      <c r="P85" s="22" t="n">
        <f aca="false">SUM(Q85:U85)</f>
        <v>161716.49772</v>
      </c>
      <c r="Q85" s="22"/>
      <c r="R85" s="70" t="n">
        <v>145544.84795</v>
      </c>
      <c r="S85" s="71" t="n">
        <v>16171.64977</v>
      </c>
      <c r="T85" s="22"/>
      <c r="U85" s="22"/>
      <c r="V85" s="22" t="n">
        <f aca="false">SUM(W85:AA85)</f>
        <v>0</v>
      </c>
      <c r="W85" s="22"/>
      <c r="X85" s="22"/>
      <c r="Y85" s="22"/>
      <c r="Z85" s="22"/>
      <c r="AA85" s="22"/>
      <c r="AB85" s="22" t="n">
        <f aca="false">SUM(AC85:AF85)</f>
        <v>0</v>
      </c>
      <c r="AC85" s="22"/>
      <c r="AD85" s="22"/>
      <c r="AE85" s="22"/>
      <c r="AF85" s="22"/>
      <c r="AG85" s="21" t="n">
        <f aca="false">SUM(AH85:AK85)</f>
        <v>0</v>
      </c>
      <c r="AH85" s="22"/>
      <c r="AI85" s="22"/>
      <c r="AJ85" s="22"/>
      <c r="AK85" s="22"/>
      <c r="AL85" s="68" t="s">
        <v>448</v>
      </c>
      <c r="AM85" s="69" t="s">
        <v>26</v>
      </c>
      <c r="AN85" s="69" t="s">
        <v>204</v>
      </c>
      <c r="AO85" s="69" t="s">
        <v>151</v>
      </c>
      <c r="AP85" s="68" t="s">
        <v>493</v>
      </c>
      <c r="AQ85" s="68" t="s">
        <v>494</v>
      </c>
      <c r="AR85" s="19" t="s">
        <v>426</v>
      </c>
      <c r="AS85" s="58" t="s">
        <v>455</v>
      </c>
      <c r="AT85" s="72" t="s">
        <v>153</v>
      </c>
      <c r="AU85" s="73" t="s">
        <v>495</v>
      </c>
      <c r="AV85" s="74" t="s">
        <v>496</v>
      </c>
      <c r="AW85" s="75" t="s">
        <v>54</v>
      </c>
      <c r="AX85" s="69" t="s">
        <v>497</v>
      </c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</row>
    <row r="86" customFormat="false" ht="141" hidden="false" customHeight="true" outlineLevel="0" collapsed="false">
      <c r="A86" s="18" t="s">
        <v>498</v>
      </c>
      <c r="B86" s="58" t="s">
        <v>425</v>
      </c>
      <c r="C86" s="68" t="s">
        <v>426</v>
      </c>
      <c r="D86" s="68" t="s">
        <v>445</v>
      </c>
      <c r="E86" s="69" t="s">
        <v>436</v>
      </c>
      <c r="F86" s="68" t="s">
        <v>446</v>
      </c>
      <c r="G86" s="68" t="s">
        <v>499</v>
      </c>
      <c r="H86" s="76" t="s">
        <v>67</v>
      </c>
      <c r="I86" s="21" t="n">
        <f aca="false">J86+P86+V86+AB86+AG86</f>
        <v>3678.92777</v>
      </c>
      <c r="J86" s="21" t="n">
        <f aca="false">SUM(K86:O86)</f>
        <v>3678.92777</v>
      </c>
      <c r="K86" s="37"/>
      <c r="L86" s="70" t="n">
        <f aca="false">0+3428.92777+250</f>
        <v>3678.92777</v>
      </c>
      <c r="M86" s="22"/>
      <c r="N86" s="22"/>
      <c r="O86" s="22"/>
      <c r="P86" s="22" t="n">
        <f aca="false">SUM(Q86:U86)</f>
        <v>0</v>
      </c>
      <c r="Q86" s="22"/>
      <c r="R86" s="22"/>
      <c r="S86" s="22"/>
      <c r="T86" s="22"/>
      <c r="U86" s="22"/>
      <c r="V86" s="22" t="n">
        <f aca="false">SUM(W86:AA86)</f>
        <v>0</v>
      </c>
      <c r="W86" s="22"/>
      <c r="X86" s="22"/>
      <c r="Y86" s="22"/>
      <c r="Z86" s="22"/>
      <c r="AA86" s="22"/>
      <c r="AB86" s="22" t="n">
        <f aca="false">SUM(AC86:AF86)</f>
        <v>0</v>
      </c>
      <c r="AC86" s="22"/>
      <c r="AD86" s="22"/>
      <c r="AE86" s="22"/>
      <c r="AF86" s="22"/>
      <c r="AG86" s="21" t="n">
        <f aca="false">SUM(AH86:AK86)</f>
        <v>0</v>
      </c>
      <c r="AH86" s="22"/>
      <c r="AI86" s="22"/>
      <c r="AJ86" s="22"/>
      <c r="AK86" s="22"/>
      <c r="AL86" s="68" t="s">
        <v>448</v>
      </c>
      <c r="AM86" s="76" t="s">
        <v>26</v>
      </c>
      <c r="AN86" s="76" t="s">
        <v>500</v>
      </c>
      <c r="AO86" s="76" t="s">
        <v>48</v>
      </c>
      <c r="AP86" s="76" t="s">
        <v>501</v>
      </c>
      <c r="AQ86" s="76" t="s">
        <v>441</v>
      </c>
      <c r="AR86" s="19" t="s">
        <v>426</v>
      </c>
      <c r="AS86" s="76" t="s">
        <v>441</v>
      </c>
      <c r="AT86" s="76" t="s">
        <v>441</v>
      </c>
      <c r="AU86" s="77" t="s">
        <v>502</v>
      </c>
      <c r="AV86" s="76" t="s">
        <v>126</v>
      </c>
      <c r="AW86" s="76" t="s">
        <v>412</v>
      </c>
      <c r="AX86" s="78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</row>
    <row r="87" customFormat="false" ht="141" hidden="false" customHeight="true" outlineLevel="0" collapsed="false">
      <c r="A87" s="18" t="s">
        <v>503</v>
      </c>
      <c r="B87" s="58" t="s">
        <v>425</v>
      </c>
      <c r="C87" s="68" t="s">
        <v>426</v>
      </c>
      <c r="D87" s="68" t="s">
        <v>445</v>
      </c>
      <c r="E87" s="69" t="s">
        <v>436</v>
      </c>
      <c r="F87" s="68" t="s">
        <v>446</v>
      </c>
      <c r="G87" s="68" t="s">
        <v>504</v>
      </c>
      <c r="H87" s="76" t="s">
        <v>67</v>
      </c>
      <c r="I87" s="21" t="n">
        <f aca="false">J87+P87+V87+AB87+AG87</f>
        <v>11848.589</v>
      </c>
      <c r="J87" s="21" t="n">
        <f aca="false">SUM(K87:O87)</f>
        <v>11848.589</v>
      </c>
      <c r="K87" s="37"/>
      <c r="L87" s="55" t="n">
        <f aca="false">0+11848.589</f>
        <v>11848.589</v>
      </c>
      <c r="M87" s="22"/>
      <c r="N87" s="22"/>
      <c r="O87" s="22"/>
      <c r="P87" s="22" t="n">
        <f aca="false">SUM(Q87:U87)</f>
        <v>0</v>
      </c>
      <c r="Q87" s="22"/>
      <c r="R87" s="22"/>
      <c r="S87" s="22"/>
      <c r="T87" s="22"/>
      <c r="U87" s="22"/>
      <c r="V87" s="22" t="n">
        <f aca="false">SUM(W87:AA87)</f>
        <v>0</v>
      </c>
      <c r="W87" s="22"/>
      <c r="X87" s="22"/>
      <c r="Y87" s="22"/>
      <c r="Z87" s="22"/>
      <c r="AA87" s="22"/>
      <c r="AB87" s="22" t="n">
        <f aca="false">SUM(AC87:AF87)</f>
        <v>0</v>
      </c>
      <c r="AC87" s="22"/>
      <c r="AD87" s="22"/>
      <c r="AE87" s="22"/>
      <c r="AF87" s="22"/>
      <c r="AG87" s="21" t="n">
        <f aca="false">SUM(AH87:AK87)</f>
        <v>0</v>
      </c>
      <c r="AH87" s="22"/>
      <c r="AI87" s="22"/>
      <c r="AJ87" s="22"/>
      <c r="AK87" s="22"/>
      <c r="AL87" s="68" t="s">
        <v>448</v>
      </c>
      <c r="AM87" s="76" t="s">
        <v>26</v>
      </c>
      <c r="AN87" s="76" t="s">
        <v>500</v>
      </c>
      <c r="AO87" s="76" t="s">
        <v>48</v>
      </c>
      <c r="AP87" s="76" t="s">
        <v>505</v>
      </c>
      <c r="AQ87" s="76" t="s">
        <v>441</v>
      </c>
      <c r="AR87" s="76" t="s">
        <v>426</v>
      </c>
      <c r="AS87" s="76" t="s">
        <v>441</v>
      </c>
      <c r="AT87" s="76" t="s">
        <v>441</v>
      </c>
      <c r="AU87" s="77" t="s">
        <v>506</v>
      </c>
      <c r="AV87" s="76" t="s">
        <v>126</v>
      </c>
      <c r="AW87" s="76" t="s">
        <v>412</v>
      </c>
      <c r="AX87" s="76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</row>
    <row r="88" customFormat="false" ht="141" hidden="false" customHeight="true" outlineLevel="0" collapsed="false">
      <c r="A88" s="18" t="s">
        <v>507</v>
      </c>
      <c r="B88" s="58" t="s">
        <v>425</v>
      </c>
      <c r="C88" s="68" t="s">
        <v>426</v>
      </c>
      <c r="D88" s="68" t="s">
        <v>445</v>
      </c>
      <c r="E88" s="69" t="s">
        <v>436</v>
      </c>
      <c r="F88" s="68" t="s">
        <v>446</v>
      </c>
      <c r="G88" s="68" t="s">
        <v>508</v>
      </c>
      <c r="H88" s="16" t="s">
        <v>67</v>
      </c>
      <c r="I88" s="21" t="n">
        <f aca="false">J88+P88+V88+AB88+AG88</f>
        <v>133454.44773</v>
      </c>
      <c r="J88" s="21" t="n">
        <f aca="false">SUM(K88:O88)</f>
        <v>93364.65173</v>
      </c>
      <c r="K88" s="37"/>
      <c r="L88" s="70" t="n">
        <f aca="false">0+93364.65173</f>
        <v>93364.65173</v>
      </c>
      <c r="M88" s="22"/>
      <c r="N88" s="22"/>
      <c r="O88" s="22"/>
      <c r="P88" s="22" t="n">
        <f aca="false">SUM(Q88:U88)</f>
        <v>40089.796</v>
      </c>
      <c r="Q88" s="22"/>
      <c r="R88" s="22" t="n">
        <f aca="false">0+40089.796</f>
        <v>40089.796</v>
      </c>
      <c r="S88" s="22"/>
      <c r="T88" s="22"/>
      <c r="U88" s="22"/>
      <c r="V88" s="22" t="n">
        <f aca="false">SUM(W88:AA88)</f>
        <v>0</v>
      </c>
      <c r="W88" s="22"/>
      <c r="X88" s="22"/>
      <c r="Y88" s="22"/>
      <c r="Z88" s="22"/>
      <c r="AA88" s="22"/>
      <c r="AB88" s="22" t="n">
        <f aca="false">SUM(AC88:AF88)</f>
        <v>0</v>
      </c>
      <c r="AC88" s="22"/>
      <c r="AD88" s="22"/>
      <c r="AE88" s="22"/>
      <c r="AF88" s="22"/>
      <c r="AG88" s="21" t="n">
        <f aca="false">SUM(AH88:AK88)</f>
        <v>0</v>
      </c>
      <c r="AH88" s="22"/>
      <c r="AI88" s="22"/>
      <c r="AJ88" s="22"/>
      <c r="AK88" s="22"/>
      <c r="AL88" s="68" t="s">
        <v>448</v>
      </c>
      <c r="AM88" s="76" t="s">
        <v>25</v>
      </c>
      <c r="AN88" s="76" t="s">
        <v>509</v>
      </c>
      <c r="AO88" s="76" t="s">
        <v>48</v>
      </c>
      <c r="AP88" s="16" t="s">
        <v>510</v>
      </c>
      <c r="AQ88" s="76" t="s">
        <v>441</v>
      </c>
      <c r="AR88" s="16" t="s">
        <v>426</v>
      </c>
      <c r="AS88" s="76" t="s">
        <v>441</v>
      </c>
      <c r="AT88" s="76" t="s">
        <v>441</v>
      </c>
      <c r="AU88" s="16" t="s">
        <v>511</v>
      </c>
      <c r="AV88" s="16" t="s">
        <v>126</v>
      </c>
      <c r="AW88" s="16" t="s">
        <v>54</v>
      </c>
      <c r="AX88" s="16" t="s">
        <v>512</v>
      </c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</row>
    <row r="89" customFormat="false" ht="141" hidden="false" customHeight="true" outlineLevel="0" collapsed="false">
      <c r="A89" s="18" t="s">
        <v>513</v>
      </c>
      <c r="B89" s="68" t="s">
        <v>425</v>
      </c>
      <c r="C89" s="68" t="s">
        <v>426</v>
      </c>
      <c r="D89" s="68" t="s">
        <v>445</v>
      </c>
      <c r="E89" s="69" t="s">
        <v>436</v>
      </c>
      <c r="F89" s="68" t="s">
        <v>446</v>
      </c>
      <c r="G89" s="68" t="s">
        <v>514</v>
      </c>
      <c r="H89" s="68" t="s">
        <v>113</v>
      </c>
      <c r="I89" s="70" t="n">
        <f aca="false">J89+P89+V89+AB89+AH89</f>
        <v>318565.96812</v>
      </c>
      <c r="J89" s="70" t="n">
        <f aca="false">SUM(K89:O89)</f>
        <v>318565.96812</v>
      </c>
      <c r="K89" s="70" t="n">
        <v>315380.30844</v>
      </c>
      <c r="L89" s="70"/>
      <c r="M89" s="70" t="n">
        <v>3185.65968</v>
      </c>
      <c r="N89" s="22"/>
      <c r="O89" s="22"/>
      <c r="P89" s="22" t="n">
        <f aca="false">SUM(Q89:U89)</f>
        <v>0</v>
      </c>
      <c r="Q89" s="22"/>
      <c r="R89" s="22"/>
      <c r="S89" s="22"/>
      <c r="T89" s="22"/>
      <c r="U89" s="22"/>
      <c r="V89" s="22" t="n">
        <f aca="false">SUM(W89:AA89)</f>
        <v>0</v>
      </c>
      <c r="W89" s="22"/>
      <c r="X89" s="22"/>
      <c r="Y89" s="22"/>
      <c r="Z89" s="22"/>
      <c r="AA89" s="22"/>
      <c r="AB89" s="22" t="n">
        <f aca="false">SUM(AC89:AF89)</f>
        <v>0</v>
      </c>
      <c r="AC89" s="22"/>
      <c r="AD89" s="22"/>
      <c r="AE89" s="22"/>
      <c r="AF89" s="22"/>
      <c r="AG89" s="21" t="n">
        <f aca="false">SUM(AH89:AK89)</f>
        <v>0</v>
      </c>
      <c r="AH89" s="22"/>
      <c r="AI89" s="22"/>
      <c r="AJ89" s="22"/>
      <c r="AK89" s="22"/>
      <c r="AL89" s="68" t="s">
        <v>448</v>
      </c>
      <c r="AM89" s="69" t="s">
        <v>25</v>
      </c>
      <c r="AN89" s="69" t="s">
        <v>204</v>
      </c>
      <c r="AO89" s="69" t="s">
        <v>151</v>
      </c>
      <c r="AP89" s="68" t="s">
        <v>515</v>
      </c>
      <c r="AQ89" s="68" t="s">
        <v>494</v>
      </c>
      <c r="AR89" s="68" t="s">
        <v>153</v>
      </c>
      <c r="AS89" s="68" t="s">
        <v>516</v>
      </c>
      <c r="AT89" s="72" t="s">
        <v>153</v>
      </c>
      <c r="AU89" s="75" t="s">
        <v>517</v>
      </c>
      <c r="AV89" s="74" t="s">
        <v>496</v>
      </c>
      <c r="AW89" s="75" t="s">
        <v>54</v>
      </c>
      <c r="AX89" s="74" t="s">
        <v>518</v>
      </c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</row>
    <row r="90" customFormat="false" ht="120.75" hidden="false" customHeight="true" outlineLevel="0" collapsed="false">
      <c r="A90" s="18" t="s">
        <v>519</v>
      </c>
      <c r="B90" s="15" t="s">
        <v>520</v>
      </c>
      <c r="C90" s="15" t="s">
        <v>521</v>
      </c>
      <c r="D90" s="15" t="s">
        <v>522</v>
      </c>
      <c r="E90" s="18" t="s">
        <v>523</v>
      </c>
      <c r="F90" s="31" t="s">
        <v>524</v>
      </c>
      <c r="G90" s="15" t="s">
        <v>525</v>
      </c>
      <c r="H90" s="15" t="s">
        <v>526</v>
      </c>
      <c r="I90" s="21" t="n">
        <f aca="false">J90+P90+V90+AB90+AG90</f>
        <v>30247.5528</v>
      </c>
      <c r="J90" s="21" t="n">
        <f aca="false">SUM(K90:O90)</f>
        <v>0</v>
      </c>
      <c r="K90" s="21"/>
      <c r="L90" s="21" t="n">
        <f aca="false">17644.4058-17644.4058</f>
        <v>0</v>
      </c>
      <c r="M90" s="21"/>
      <c r="N90" s="21"/>
      <c r="O90" s="21"/>
      <c r="P90" s="22" t="n">
        <f aca="false">SUM(Q90:U90)</f>
        <v>30247.5528</v>
      </c>
      <c r="Q90" s="21"/>
      <c r="R90" s="21" t="n">
        <v>30247.5528</v>
      </c>
      <c r="S90" s="21"/>
      <c r="T90" s="21"/>
      <c r="U90" s="21"/>
      <c r="V90" s="22" t="n">
        <f aca="false">SUM(W90:AA90)</f>
        <v>0</v>
      </c>
      <c r="W90" s="21"/>
      <c r="X90" s="21"/>
      <c r="Y90" s="21"/>
      <c r="Z90" s="21"/>
      <c r="AA90" s="21"/>
      <c r="AB90" s="22" t="n">
        <f aca="false">SUM(AC90:AF90)</f>
        <v>0</v>
      </c>
      <c r="AC90" s="21"/>
      <c r="AD90" s="21"/>
      <c r="AE90" s="21"/>
      <c r="AF90" s="21"/>
      <c r="AG90" s="21" t="n">
        <f aca="false">SUM(AH90:AK90)</f>
        <v>0</v>
      </c>
      <c r="AH90" s="21"/>
      <c r="AI90" s="21"/>
      <c r="AJ90" s="21"/>
      <c r="AK90" s="21"/>
      <c r="AL90" s="31" t="s">
        <v>527</v>
      </c>
      <c r="AM90" s="34" t="s">
        <v>26</v>
      </c>
      <c r="AN90" s="34"/>
      <c r="AO90" s="15" t="s">
        <v>48</v>
      </c>
      <c r="AP90" s="17" t="s">
        <v>528</v>
      </c>
      <c r="AQ90" s="15" t="s">
        <v>521</v>
      </c>
      <c r="AR90" s="15" t="s">
        <v>521</v>
      </c>
      <c r="AS90" s="15" t="s">
        <v>521</v>
      </c>
      <c r="AT90" s="15" t="s">
        <v>521</v>
      </c>
      <c r="AU90" s="35" t="s">
        <v>529</v>
      </c>
      <c r="AV90" s="16" t="s">
        <v>53</v>
      </c>
      <c r="AW90" s="17" t="s">
        <v>412</v>
      </c>
      <c r="AX90" s="17" t="s">
        <v>530</v>
      </c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</row>
    <row r="91" customFormat="false" ht="133.5" hidden="false" customHeight="true" outlineLevel="0" collapsed="false">
      <c r="A91" s="18" t="s">
        <v>531</v>
      </c>
      <c r="B91" s="15" t="s">
        <v>520</v>
      </c>
      <c r="C91" s="15" t="s">
        <v>521</v>
      </c>
      <c r="D91" s="15" t="s">
        <v>522</v>
      </c>
      <c r="E91" s="18" t="s">
        <v>523</v>
      </c>
      <c r="F91" s="31" t="s">
        <v>524</v>
      </c>
      <c r="G91" s="15" t="s">
        <v>532</v>
      </c>
      <c r="H91" s="15" t="s">
        <v>533</v>
      </c>
      <c r="I91" s="21" t="n">
        <f aca="false">J91+P91+V91+AB91+AG91</f>
        <v>61482.73555</v>
      </c>
      <c r="J91" s="21" t="n">
        <f aca="false">SUM(K91:O91)</f>
        <v>0</v>
      </c>
      <c r="K91" s="21"/>
      <c r="L91" s="21"/>
      <c r="M91" s="21"/>
      <c r="N91" s="21"/>
      <c r="O91" s="21"/>
      <c r="P91" s="22" t="n">
        <f aca="false">SUM(Q91:U91)</f>
        <v>22651.53415</v>
      </c>
      <c r="Q91" s="21"/>
      <c r="R91" s="21" t="n">
        <v>22651.53415</v>
      </c>
      <c r="S91" s="21"/>
      <c r="T91" s="21"/>
      <c r="U91" s="21"/>
      <c r="V91" s="22" t="n">
        <f aca="false">SUM(W91:AA91)</f>
        <v>38831.2014</v>
      </c>
      <c r="W91" s="21"/>
      <c r="X91" s="21" t="n">
        <v>38831.2014</v>
      </c>
      <c r="Y91" s="21"/>
      <c r="Z91" s="21"/>
      <c r="AA91" s="21"/>
      <c r="AB91" s="22" t="n">
        <f aca="false">SUM(AC91:AF91)</f>
        <v>0</v>
      </c>
      <c r="AC91" s="21"/>
      <c r="AD91" s="21"/>
      <c r="AE91" s="21"/>
      <c r="AF91" s="21"/>
      <c r="AG91" s="21" t="n">
        <f aca="false">SUM(AH91:AK91)</f>
        <v>0</v>
      </c>
      <c r="AH91" s="21"/>
      <c r="AI91" s="21"/>
      <c r="AJ91" s="21"/>
      <c r="AK91" s="21"/>
      <c r="AL91" s="31" t="s">
        <v>527</v>
      </c>
      <c r="AM91" s="31" t="s">
        <v>27</v>
      </c>
      <c r="AN91" s="31"/>
      <c r="AO91" s="15" t="s">
        <v>48</v>
      </c>
      <c r="AP91" s="17" t="s">
        <v>534</v>
      </c>
      <c r="AQ91" s="15" t="s">
        <v>521</v>
      </c>
      <c r="AR91" s="15" t="s">
        <v>521</v>
      </c>
      <c r="AS91" s="15" t="s">
        <v>521</v>
      </c>
      <c r="AT91" s="15" t="s">
        <v>521</v>
      </c>
      <c r="AU91" s="39" t="s">
        <v>535</v>
      </c>
      <c r="AV91" s="16" t="s">
        <v>53</v>
      </c>
      <c r="AW91" s="15" t="s">
        <v>412</v>
      </c>
      <c r="AX91" s="17" t="s">
        <v>536</v>
      </c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</row>
    <row r="92" customFormat="false" ht="126.75" hidden="false" customHeight="true" outlineLevel="0" collapsed="false">
      <c r="A92" s="18" t="s">
        <v>537</v>
      </c>
      <c r="B92" s="15" t="s">
        <v>520</v>
      </c>
      <c r="C92" s="15" t="s">
        <v>521</v>
      </c>
      <c r="D92" s="15" t="s">
        <v>522</v>
      </c>
      <c r="E92" s="18" t="s">
        <v>523</v>
      </c>
      <c r="F92" s="31" t="s">
        <v>524</v>
      </c>
      <c r="G92" s="15" t="s">
        <v>538</v>
      </c>
      <c r="H92" s="15" t="s">
        <v>539</v>
      </c>
      <c r="I92" s="21" t="n">
        <f aca="false">J92+P92+V92+AB92+AG92</f>
        <v>151200</v>
      </c>
      <c r="J92" s="21" t="n">
        <f aca="false">SUM(K92:O92)</f>
        <v>0</v>
      </c>
      <c r="K92" s="21"/>
      <c r="L92" s="21"/>
      <c r="M92" s="21"/>
      <c r="N92" s="21"/>
      <c r="O92" s="21"/>
      <c r="P92" s="22" t="n">
        <f aca="false">SUM(Q92:U92)</f>
        <v>0</v>
      </c>
      <c r="Q92" s="21"/>
      <c r="R92" s="21"/>
      <c r="S92" s="21"/>
      <c r="T92" s="21"/>
      <c r="U92" s="21"/>
      <c r="V92" s="22" t="n">
        <f aca="false">SUM(W92:AA92)</f>
        <v>16200</v>
      </c>
      <c r="W92" s="21"/>
      <c r="X92" s="21" t="n">
        <v>16200</v>
      </c>
      <c r="Y92" s="21"/>
      <c r="Z92" s="21"/>
      <c r="AA92" s="21"/>
      <c r="AB92" s="22" t="n">
        <f aca="false">SUM(AC92:AF92)</f>
        <v>135000</v>
      </c>
      <c r="AC92" s="21" t="n">
        <v>118800</v>
      </c>
      <c r="AD92" s="21" t="n">
        <v>16200</v>
      </c>
      <c r="AE92" s="21"/>
      <c r="AF92" s="21"/>
      <c r="AG92" s="21" t="n">
        <f aca="false">SUM(AH92:AK92)</f>
        <v>0</v>
      </c>
      <c r="AH92" s="21"/>
      <c r="AI92" s="21"/>
      <c r="AJ92" s="21"/>
      <c r="AK92" s="21"/>
      <c r="AL92" s="31" t="s">
        <v>527</v>
      </c>
      <c r="AM92" s="31" t="s">
        <v>28</v>
      </c>
      <c r="AN92" s="31"/>
      <c r="AO92" s="15" t="s">
        <v>48</v>
      </c>
      <c r="AP92" s="15" t="s">
        <v>540</v>
      </c>
      <c r="AQ92" s="15" t="s">
        <v>521</v>
      </c>
      <c r="AR92" s="15" t="s">
        <v>521</v>
      </c>
      <c r="AS92" s="15" t="s">
        <v>521</v>
      </c>
      <c r="AT92" s="15" t="s">
        <v>521</v>
      </c>
      <c r="AU92" s="39" t="s">
        <v>541</v>
      </c>
      <c r="AV92" s="15" t="s">
        <v>155</v>
      </c>
      <c r="AW92" s="15" t="s">
        <v>412</v>
      </c>
      <c r="AX92" s="17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</row>
    <row r="93" customFormat="false" ht="123" hidden="false" customHeight="true" outlineLevel="0" collapsed="false">
      <c r="A93" s="18" t="s">
        <v>542</v>
      </c>
      <c r="B93" s="15" t="s">
        <v>520</v>
      </c>
      <c r="C93" s="15" t="s">
        <v>521</v>
      </c>
      <c r="D93" s="15" t="s">
        <v>522</v>
      </c>
      <c r="E93" s="18" t="s">
        <v>523</v>
      </c>
      <c r="F93" s="31" t="s">
        <v>524</v>
      </c>
      <c r="G93" s="15" t="s">
        <v>543</v>
      </c>
      <c r="H93" s="15" t="s">
        <v>539</v>
      </c>
      <c r="I93" s="21" t="n">
        <f aca="false">J93+P93+V93+AB93+AG93</f>
        <v>3359.99813</v>
      </c>
      <c r="J93" s="21" t="n">
        <f aca="false">SUM(K93:O93)</f>
        <v>3359.99813</v>
      </c>
      <c r="K93" s="21"/>
      <c r="L93" s="21" t="n">
        <v>3359.99813</v>
      </c>
      <c r="M93" s="21"/>
      <c r="N93" s="21"/>
      <c r="O93" s="21"/>
      <c r="P93" s="22" t="n">
        <f aca="false">SUM(Q93:U93)</f>
        <v>0</v>
      </c>
      <c r="Q93" s="21"/>
      <c r="R93" s="21"/>
      <c r="S93" s="21"/>
      <c r="T93" s="21"/>
      <c r="U93" s="21"/>
      <c r="V93" s="22" t="n">
        <f aca="false">SUM(W93:AA93)</f>
        <v>0</v>
      </c>
      <c r="W93" s="21"/>
      <c r="X93" s="21"/>
      <c r="Y93" s="21"/>
      <c r="Z93" s="21"/>
      <c r="AA93" s="21"/>
      <c r="AB93" s="22" t="n">
        <f aca="false">SUM(AC93:AF93)</f>
        <v>0</v>
      </c>
      <c r="AC93" s="21"/>
      <c r="AD93" s="21"/>
      <c r="AE93" s="21"/>
      <c r="AF93" s="21"/>
      <c r="AG93" s="21" t="n">
        <f aca="false">SUM(AH93:AK93)</f>
        <v>0</v>
      </c>
      <c r="AH93" s="21"/>
      <c r="AI93" s="21"/>
      <c r="AJ93" s="21"/>
      <c r="AK93" s="21"/>
      <c r="AL93" s="31" t="s">
        <v>527</v>
      </c>
      <c r="AM93" s="31"/>
      <c r="AN93" s="31" t="s">
        <v>25</v>
      </c>
      <c r="AO93" s="15" t="s">
        <v>48</v>
      </c>
      <c r="AP93" s="15" t="s">
        <v>540</v>
      </c>
      <c r="AQ93" s="15" t="s">
        <v>521</v>
      </c>
      <c r="AR93" s="15" t="s">
        <v>521</v>
      </c>
      <c r="AS93" s="15" t="s">
        <v>521</v>
      </c>
      <c r="AT93" s="15" t="s">
        <v>521</v>
      </c>
      <c r="AU93" s="39"/>
      <c r="AV93" s="15" t="s">
        <v>155</v>
      </c>
      <c r="AW93" s="15" t="s">
        <v>90</v>
      </c>
      <c r="AX93" s="17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</row>
    <row r="94" customFormat="false" ht="124.6" hidden="false" customHeight="false" outlineLevel="0" collapsed="false">
      <c r="A94" s="18" t="s">
        <v>544</v>
      </c>
      <c r="B94" s="15" t="s">
        <v>545</v>
      </c>
      <c r="C94" s="15" t="s">
        <v>546</v>
      </c>
      <c r="D94" s="15" t="s">
        <v>547</v>
      </c>
      <c r="E94" s="18" t="s">
        <v>548</v>
      </c>
      <c r="F94" s="17" t="s">
        <v>549</v>
      </c>
      <c r="G94" s="15" t="s">
        <v>550</v>
      </c>
      <c r="H94" s="15" t="s">
        <v>551</v>
      </c>
      <c r="I94" s="21" t="n">
        <f aca="false">J94+P94+V94+AB94+AG94</f>
        <v>67814.87341</v>
      </c>
      <c r="J94" s="21" t="n">
        <f aca="false">SUM(K94:O94)</f>
        <v>67814.87341</v>
      </c>
      <c r="K94" s="21"/>
      <c r="L94" s="21" t="n">
        <f aca="false">64320.9+3493.97341</f>
        <v>67814.87341</v>
      </c>
      <c r="M94" s="21"/>
      <c r="N94" s="21"/>
      <c r="O94" s="21"/>
      <c r="P94" s="22" t="n">
        <f aca="false">SUM(Q94:U94)</f>
        <v>0</v>
      </c>
      <c r="Q94" s="21"/>
      <c r="R94" s="21"/>
      <c r="S94" s="21"/>
      <c r="T94" s="21"/>
      <c r="U94" s="21"/>
      <c r="V94" s="22" t="n">
        <f aca="false">SUM(W94:AA94)</f>
        <v>0</v>
      </c>
      <c r="W94" s="21"/>
      <c r="X94" s="21"/>
      <c r="Y94" s="21"/>
      <c r="Z94" s="21"/>
      <c r="AA94" s="21"/>
      <c r="AB94" s="22" t="n">
        <f aca="false">SUM(AC94:AF94)</f>
        <v>0</v>
      </c>
      <c r="AC94" s="21"/>
      <c r="AD94" s="21"/>
      <c r="AE94" s="21"/>
      <c r="AF94" s="21"/>
      <c r="AG94" s="21" t="n">
        <f aca="false">SUM(AH94:AK94)</f>
        <v>0</v>
      </c>
      <c r="AH94" s="21"/>
      <c r="AI94" s="21"/>
      <c r="AJ94" s="21"/>
      <c r="AK94" s="21"/>
      <c r="AL94" s="15" t="s">
        <v>552</v>
      </c>
      <c r="AM94" s="15" t="s">
        <v>25</v>
      </c>
      <c r="AN94" s="15"/>
      <c r="AO94" s="15" t="s">
        <v>48</v>
      </c>
      <c r="AP94" s="17" t="s">
        <v>553</v>
      </c>
      <c r="AQ94" s="15" t="s">
        <v>554</v>
      </c>
      <c r="AR94" s="15" t="s">
        <v>546</v>
      </c>
      <c r="AS94" s="15" t="s">
        <v>554</v>
      </c>
      <c r="AT94" s="15" t="s">
        <v>554</v>
      </c>
      <c r="AU94" s="17" t="s">
        <v>555</v>
      </c>
      <c r="AV94" s="16" t="s">
        <v>53</v>
      </c>
      <c r="AW94" s="17" t="s">
        <v>54</v>
      </c>
      <c r="AX94" s="15" t="s">
        <v>556</v>
      </c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</row>
    <row r="95" customFormat="false" ht="124.6" hidden="false" customHeight="false" outlineLevel="0" collapsed="false">
      <c r="A95" s="18" t="s">
        <v>557</v>
      </c>
      <c r="B95" s="15" t="s">
        <v>545</v>
      </c>
      <c r="C95" s="15" t="s">
        <v>546</v>
      </c>
      <c r="D95" s="15" t="s">
        <v>547</v>
      </c>
      <c r="E95" s="18" t="s">
        <v>548</v>
      </c>
      <c r="F95" s="17" t="s">
        <v>549</v>
      </c>
      <c r="G95" s="15" t="s">
        <v>558</v>
      </c>
      <c r="H95" s="17" t="s">
        <v>559</v>
      </c>
      <c r="I95" s="21" t="n">
        <f aca="false">J95+P95+V95+AB95+AG95</f>
        <v>6506.02659</v>
      </c>
      <c r="J95" s="21" t="n">
        <f aca="false">SUM(K95:O95)</f>
        <v>6506.02659</v>
      </c>
      <c r="K95" s="21"/>
      <c r="L95" s="21" t="n">
        <f aca="false">10000-3493.97341</f>
        <v>6506.02659</v>
      </c>
      <c r="M95" s="28"/>
      <c r="N95" s="28"/>
      <c r="O95" s="28"/>
      <c r="P95" s="22" t="n">
        <f aca="false">SUM(Q95:U95)</f>
        <v>0</v>
      </c>
      <c r="Q95" s="28"/>
      <c r="R95" s="28"/>
      <c r="S95" s="28"/>
      <c r="T95" s="28"/>
      <c r="U95" s="28"/>
      <c r="V95" s="22" t="n">
        <f aca="false">SUM(W95:AA95)</f>
        <v>0</v>
      </c>
      <c r="W95" s="28"/>
      <c r="X95" s="28"/>
      <c r="Y95" s="28"/>
      <c r="Z95" s="28"/>
      <c r="AA95" s="28"/>
      <c r="AB95" s="22" t="n">
        <f aca="false">SUM(AC95:AF95)</f>
        <v>0</v>
      </c>
      <c r="AC95" s="28"/>
      <c r="AD95" s="28"/>
      <c r="AE95" s="28"/>
      <c r="AF95" s="28"/>
      <c r="AG95" s="21" t="n">
        <f aca="false">SUM(AH95:AK95)</f>
        <v>0</v>
      </c>
      <c r="AH95" s="28"/>
      <c r="AI95" s="28"/>
      <c r="AJ95" s="28"/>
      <c r="AK95" s="28"/>
      <c r="AL95" s="17" t="s">
        <v>560</v>
      </c>
      <c r="AM95" s="15"/>
      <c r="AN95" s="15" t="s">
        <v>25</v>
      </c>
      <c r="AO95" s="15" t="s">
        <v>48</v>
      </c>
      <c r="AP95" s="17" t="s">
        <v>553</v>
      </c>
      <c r="AQ95" s="15" t="s">
        <v>554</v>
      </c>
      <c r="AR95" s="15" t="s">
        <v>546</v>
      </c>
      <c r="AS95" s="15" t="s">
        <v>554</v>
      </c>
      <c r="AT95" s="15" t="s">
        <v>554</v>
      </c>
      <c r="AU95" s="15"/>
      <c r="AV95" s="16" t="s">
        <v>53</v>
      </c>
      <c r="AW95" s="15" t="s">
        <v>326</v>
      </c>
      <c r="AX95" s="15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</row>
    <row r="96" customFormat="false" ht="124.6" hidden="false" customHeight="false" outlineLevel="0" collapsed="false">
      <c r="A96" s="18" t="s">
        <v>561</v>
      </c>
      <c r="B96" s="15" t="s">
        <v>545</v>
      </c>
      <c r="C96" s="15" t="s">
        <v>546</v>
      </c>
      <c r="D96" s="15" t="s">
        <v>547</v>
      </c>
      <c r="E96" s="18" t="s">
        <v>548</v>
      </c>
      <c r="F96" s="17" t="s">
        <v>549</v>
      </c>
      <c r="G96" s="15" t="s">
        <v>562</v>
      </c>
      <c r="H96" s="15" t="s">
        <v>284</v>
      </c>
      <c r="I96" s="21" t="n">
        <f aca="false">J96+P96+V96+AB96+AG96</f>
        <v>14900</v>
      </c>
      <c r="J96" s="21" t="n">
        <f aca="false">SUM(K96:O96)</f>
        <v>0</v>
      </c>
      <c r="K96" s="21"/>
      <c r="L96" s="21"/>
      <c r="M96" s="21"/>
      <c r="N96" s="21"/>
      <c r="O96" s="21"/>
      <c r="P96" s="22" t="n">
        <f aca="false">SUM(Q96:U96)</f>
        <v>14900</v>
      </c>
      <c r="Q96" s="21"/>
      <c r="R96" s="21" t="n">
        <v>14900</v>
      </c>
      <c r="S96" s="21"/>
      <c r="T96" s="21"/>
      <c r="U96" s="21"/>
      <c r="V96" s="22" t="n">
        <f aca="false">SUM(W96:AA96)</f>
        <v>0</v>
      </c>
      <c r="W96" s="21"/>
      <c r="X96" s="21"/>
      <c r="Y96" s="21"/>
      <c r="Z96" s="21"/>
      <c r="AA96" s="21"/>
      <c r="AB96" s="22" t="n">
        <f aca="false">SUM(AC96:AF96)</f>
        <v>0</v>
      </c>
      <c r="AC96" s="21"/>
      <c r="AD96" s="21"/>
      <c r="AE96" s="21"/>
      <c r="AF96" s="21"/>
      <c r="AG96" s="21" t="n">
        <f aca="false">SUM(AH96:AK96)</f>
        <v>0</v>
      </c>
      <c r="AH96" s="21"/>
      <c r="AI96" s="21"/>
      <c r="AJ96" s="21"/>
      <c r="AK96" s="21"/>
      <c r="AL96" s="15" t="s">
        <v>552</v>
      </c>
      <c r="AM96" s="15" t="s">
        <v>26</v>
      </c>
      <c r="AN96" s="15"/>
      <c r="AO96" s="15" t="s">
        <v>48</v>
      </c>
      <c r="AP96" s="17" t="s">
        <v>563</v>
      </c>
      <c r="AQ96" s="15" t="s">
        <v>554</v>
      </c>
      <c r="AR96" s="15" t="s">
        <v>546</v>
      </c>
      <c r="AS96" s="15" t="s">
        <v>554</v>
      </c>
      <c r="AT96" s="15" t="s">
        <v>554</v>
      </c>
      <c r="AU96" s="17" t="s">
        <v>564</v>
      </c>
      <c r="AV96" s="16" t="s">
        <v>53</v>
      </c>
      <c r="AW96" s="17" t="s">
        <v>191</v>
      </c>
      <c r="AX96" s="15" t="s">
        <v>565</v>
      </c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</row>
    <row r="97" customFormat="false" ht="112.5" hidden="false" customHeight="true" outlineLevel="0" collapsed="false">
      <c r="A97" s="18" t="s">
        <v>566</v>
      </c>
      <c r="B97" s="15" t="s">
        <v>567</v>
      </c>
      <c r="C97" s="15" t="s">
        <v>279</v>
      </c>
      <c r="D97" s="15" t="s">
        <v>568</v>
      </c>
      <c r="E97" s="18" t="s">
        <v>569</v>
      </c>
      <c r="F97" s="15" t="s">
        <v>570</v>
      </c>
      <c r="G97" s="15" t="s">
        <v>571</v>
      </c>
      <c r="H97" s="15" t="s">
        <v>572</v>
      </c>
      <c r="I97" s="21" t="n">
        <f aca="false">J97+P97+V97+AB97+AG97</f>
        <v>559860.84585</v>
      </c>
      <c r="J97" s="21" t="n">
        <f aca="false">SUM(K97:O97)</f>
        <v>9860.84585</v>
      </c>
      <c r="K97" s="21"/>
      <c r="L97" s="28" t="n">
        <v>9850.985</v>
      </c>
      <c r="M97" s="21" t="n">
        <v>9.86085</v>
      </c>
      <c r="N97" s="21"/>
      <c r="O97" s="21"/>
      <c r="P97" s="22" t="n">
        <f aca="false">SUM(Q97:U97)</f>
        <v>150000</v>
      </c>
      <c r="Q97" s="21"/>
      <c r="R97" s="28" t="n">
        <v>149850</v>
      </c>
      <c r="S97" s="28" t="n">
        <v>150</v>
      </c>
      <c r="T97" s="21"/>
      <c r="U97" s="21"/>
      <c r="V97" s="22" t="n">
        <f aca="false">SUM(W97:AA97)</f>
        <v>200000</v>
      </c>
      <c r="W97" s="21"/>
      <c r="X97" s="28" t="n">
        <v>199800</v>
      </c>
      <c r="Y97" s="28" t="n">
        <v>200</v>
      </c>
      <c r="Z97" s="21"/>
      <c r="AA97" s="21"/>
      <c r="AB97" s="22" t="n">
        <f aca="false">SUM(AC97:AF97)</f>
        <v>200000</v>
      </c>
      <c r="AC97" s="21"/>
      <c r="AD97" s="28" t="n">
        <v>199800</v>
      </c>
      <c r="AE97" s="28" t="n">
        <v>200</v>
      </c>
      <c r="AF97" s="21"/>
      <c r="AG97" s="21" t="n">
        <f aca="false">SUM(AH97:AK97)</f>
        <v>0</v>
      </c>
      <c r="AH97" s="21"/>
      <c r="AI97" s="21"/>
      <c r="AJ97" s="21"/>
      <c r="AK97" s="21"/>
      <c r="AL97" s="31" t="s">
        <v>573</v>
      </c>
      <c r="AM97" s="79"/>
      <c r="AN97" s="31" t="s">
        <v>25</v>
      </c>
      <c r="AO97" s="31" t="s">
        <v>151</v>
      </c>
      <c r="AP97" s="31" t="s">
        <v>574</v>
      </c>
      <c r="AQ97" s="31" t="s">
        <v>135</v>
      </c>
      <c r="AR97" s="31" t="s">
        <v>279</v>
      </c>
      <c r="AS97" s="31" t="s">
        <v>575</v>
      </c>
      <c r="AT97" s="31" t="s">
        <v>575</v>
      </c>
      <c r="AU97" s="34"/>
      <c r="AV97" s="31" t="s">
        <v>155</v>
      </c>
      <c r="AW97" s="34" t="s">
        <v>576</v>
      </c>
      <c r="AX97" s="34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</row>
    <row r="98" customFormat="false" ht="93.75" hidden="false" customHeight="true" outlineLevel="0" collapsed="false">
      <c r="A98" s="18" t="s">
        <v>577</v>
      </c>
      <c r="B98" s="15" t="s">
        <v>567</v>
      </c>
      <c r="C98" s="15" t="s">
        <v>279</v>
      </c>
      <c r="D98" s="15" t="s">
        <v>568</v>
      </c>
      <c r="E98" s="18" t="s">
        <v>569</v>
      </c>
      <c r="F98" s="15" t="s">
        <v>578</v>
      </c>
      <c r="G98" s="15" t="s">
        <v>579</v>
      </c>
      <c r="H98" s="15" t="s">
        <v>113</v>
      </c>
      <c r="I98" s="21" t="n">
        <f aca="false">J98+P98+V98+AB98+AG98</f>
        <v>2647550</v>
      </c>
      <c r="J98" s="21" t="n">
        <f aca="false">SUM(K98:O98)</f>
        <v>2647550</v>
      </c>
      <c r="K98" s="21"/>
      <c r="L98" s="21" t="n">
        <v>197550</v>
      </c>
      <c r="M98" s="21"/>
      <c r="N98" s="21"/>
      <c r="O98" s="21" t="n">
        <v>2450000</v>
      </c>
      <c r="P98" s="22" t="n">
        <f aca="false">SUM(Q98:U98)</f>
        <v>0</v>
      </c>
      <c r="Q98" s="21"/>
      <c r="R98" s="21"/>
      <c r="S98" s="21"/>
      <c r="T98" s="21"/>
      <c r="U98" s="21"/>
      <c r="V98" s="22" t="n">
        <f aca="false">SUM(W98:AA98)</f>
        <v>0</v>
      </c>
      <c r="W98" s="21"/>
      <c r="X98" s="21"/>
      <c r="Y98" s="21"/>
      <c r="Z98" s="21"/>
      <c r="AA98" s="21"/>
      <c r="AB98" s="22" t="n">
        <f aca="false">SUM(AC98:AF98)</f>
        <v>0</v>
      </c>
      <c r="AC98" s="21"/>
      <c r="AD98" s="21"/>
      <c r="AE98" s="21"/>
      <c r="AF98" s="21"/>
      <c r="AG98" s="21" t="n">
        <f aca="false">SUM(AH98:AK98)</f>
        <v>0</v>
      </c>
      <c r="AH98" s="21"/>
      <c r="AI98" s="21"/>
      <c r="AJ98" s="21"/>
      <c r="AK98" s="21"/>
      <c r="AL98" s="31" t="s">
        <v>573</v>
      </c>
      <c r="AM98" s="31" t="s">
        <v>27</v>
      </c>
      <c r="AN98" s="31"/>
      <c r="AO98" s="31" t="s">
        <v>224</v>
      </c>
      <c r="AP98" s="31" t="s">
        <v>580</v>
      </c>
      <c r="AQ98" s="31" t="s">
        <v>279</v>
      </c>
      <c r="AR98" s="31" t="s">
        <v>279</v>
      </c>
      <c r="AS98" s="31" t="s">
        <v>581</v>
      </c>
      <c r="AT98" s="31" t="s">
        <v>581</v>
      </c>
      <c r="AU98" s="31"/>
      <c r="AV98" s="31" t="s">
        <v>53</v>
      </c>
      <c r="AW98" s="31" t="s">
        <v>54</v>
      </c>
      <c r="AX98" s="31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</row>
    <row r="99" customFormat="false" ht="93" hidden="false" customHeight="true" outlineLevel="0" collapsed="false">
      <c r="A99" s="18" t="s">
        <v>582</v>
      </c>
      <c r="B99" s="15" t="s">
        <v>567</v>
      </c>
      <c r="C99" s="15" t="s">
        <v>279</v>
      </c>
      <c r="D99" s="15" t="s">
        <v>568</v>
      </c>
      <c r="E99" s="18" t="s">
        <v>569</v>
      </c>
      <c r="F99" s="15" t="s">
        <v>578</v>
      </c>
      <c r="G99" s="15" t="s">
        <v>583</v>
      </c>
      <c r="H99" s="15" t="s">
        <v>584</v>
      </c>
      <c r="I99" s="21" t="n">
        <f aca="false">J99+P99+V99+AB99+AG99</f>
        <v>85000</v>
      </c>
      <c r="J99" s="21" t="n">
        <f aca="false">SUM(K99:O99)</f>
        <v>0</v>
      </c>
      <c r="K99" s="21"/>
      <c r="L99" s="21"/>
      <c r="M99" s="21"/>
      <c r="N99" s="21"/>
      <c r="O99" s="21"/>
      <c r="P99" s="22" t="n">
        <f aca="false">SUM(Q99:U99)</f>
        <v>85000</v>
      </c>
      <c r="Q99" s="21"/>
      <c r="R99" s="21" t="n">
        <v>85000</v>
      </c>
      <c r="S99" s="21"/>
      <c r="T99" s="21"/>
      <c r="U99" s="21"/>
      <c r="V99" s="22" t="n">
        <f aca="false">SUM(W99:AA99)</f>
        <v>0</v>
      </c>
      <c r="W99" s="21"/>
      <c r="X99" s="21"/>
      <c r="Y99" s="21"/>
      <c r="Z99" s="21"/>
      <c r="AA99" s="21"/>
      <c r="AB99" s="22" t="n">
        <f aca="false">SUM(AC99:AF99)</f>
        <v>0</v>
      </c>
      <c r="AC99" s="21"/>
      <c r="AD99" s="21"/>
      <c r="AE99" s="21"/>
      <c r="AF99" s="21"/>
      <c r="AG99" s="21" t="n">
        <f aca="false">SUM(AH99:AK99)</f>
        <v>0</v>
      </c>
      <c r="AH99" s="21"/>
      <c r="AI99" s="21"/>
      <c r="AJ99" s="21"/>
      <c r="AK99" s="21"/>
      <c r="AL99" s="31" t="s">
        <v>573</v>
      </c>
      <c r="AM99" s="31" t="s">
        <v>25</v>
      </c>
      <c r="AN99" s="31"/>
      <c r="AO99" s="31" t="s">
        <v>224</v>
      </c>
      <c r="AP99" s="31" t="s">
        <v>585</v>
      </c>
      <c r="AQ99" s="31" t="s">
        <v>279</v>
      </c>
      <c r="AR99" s="31" t="s">
        <v>279</v>
      </c>
      <c r="AS99" s="31" t="s">
        <v>581</v>
      </c>
      <c r="AT99" s="31" t="s">
        <v>581</v>
      </c>
      <c r="AU99" s="31"/>
      <c r="AV99" s="31" t="s">
        <v>53</v>
      </c>
      <c r="AW99" s="31" t="s">
        <v>412</v>
      </c>
      <c r="AX99" s="31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</row>
    <row r="100" customFormat="false" ht="93.75" hidden="false" customHeight="true" outlineLevel="0" collapsed="false">
      <c r="A100" s="18" t="s">
        <v>586</v>
      </c>
      <c r="B100" s="15" t="s">
        <v>567</v>
      </c>
      <c r="C100" s="15" t="s">
        <v>279</v>
      </c>
      <c r="D100" s="15" t="s">
        <v>568</v>
      </c>
      <c r="E100" s="18" t="s">
        <v>569</v>
      </c>
      <c r="F100" s="15" t="s">
        <v>578</v>
      </c>
      <c r="G100" s="15" t="s">
        <v>587</v>
      </c>
      <c r="H100" s="15" t="s">
        <v>87</v>
      </c>
      <c r="I100" s="21" t="n">
        <f aca="false">J100+P100+V100+AB100+AG100</f>
        <v>85000</v>
      </c>
      <c r="J100" s="21" t="n">
        <f aca="false">SUM(K100:O100)</f>
        <v>0</v>
      </c>
      <c r="K100" s="21"/>
      <c r="L100" s="21"/>
      <c r="M100" s="21"/>
      <c r="N100" s="21"/>
      <c r="O100" s="21"/>
      <c r="P100" s="22" t="n">
        <f aca="false">SUM(Q100:U100)</f>
        <v>85000</v>
      </c>
      <c r="Q100" s="21"/>
      <c r="R100" s="21" t="n">
        <v>85000</v>
      </c>
      <c r="S100" s="21"/>
      <c r="T100" s="21"/>
      <c r="U100" s="21"/>
      <c r="V100" s="22" t="n">
        <f aca="false">SUM(W100:AA100)</f>
        <v>0</v>
      </c>
      <c r="W100" s="21"/>
      <c r="X100" s="21"/>
      <c r="Y100" s="21"/>
      <c r="Z100" s="21"/>
      <c r="AA100" s="21"/>
      <c r="AB100" s="22" t="n">
        <f aca="false">SUM(AC100:AF100)</f>
        <v>0</v>
      </c>
      <c r="AC100" s="21"/>
      <c r="AD100" s="21"/>
      <c r="AE100" s="21"/>
      <c r="AF100" s="21"/>
      <c r="AG100" s="21" t="n">
        <f aca="false">SUM(AH100:AK100)</f>
        <v>0</v>
      </c>
      <c r="AH100" s="21"/>
      <c r="AI100" s="21"/>
      <c r="AJ100" s="21"/>
      <c r="AK100" s="21"/>
      <c r="AL100" s="31" t="s">
        <v>573</v>
      </c>
      <c r="AM100" s="31" t="s">
        <v>25</v>
      </c>
      <c r="AN100" s="31"/>
      <c r="AO100" s="31" t="s">
        <v>224</v>
      </c>
      <c r="AP100" s="31" t="s">
        <v>588</v>
      </c>
      <c r="AQ100" s="31" t="s">
        <v>279</v>
      </c>
      <c r="AR100" s="31" t="s">
        <v>279</v>
      </c>
      <c r="AS100" s="31" t="s">
        <v>581</v>
      </c>
      <c r="AT100" s="31" t="s">
        <v>581</v>
      </c>
      <c r="AU100" s="31"/>
      <c r="AV100" s="31" t="s">
        <v>53</v>
      </c>
      <c r="AW100" s="31" t="s">
        <v>412</v>
      </c>
      <c r="AX100" s="31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</row>
    <row r="101" customFormat="false" ht="96.75" hidden="false" customHeight="true" outlineLevel="0" collapsed="false">
      <c r="A101" s="18" t="s">
        <v>589</v>
      </c>
      <c r="B101" s="15" t="s">
        <v>567</v>
      </c>
      <c r="C101" s="15" t="s">
        <v>279</v>
      </c>
      <c r="D101" s="15" t="s">
        <v>568</v>
      </c>
      <c r="E101" s="18" t="s">
        <v>569</v>
      </c>
      <c r="F101" s="15" t="s">
        <v>578</v>
      </c>
      <c r="G101" s="15" t="s">
        <v>590</v>
      </c>
      <c r="H101" s="15" t="s">
        <v>248</v>
      </c>
      <c r="I101" s="21" t="n">
        <f aca="false">J101+P101+V101+AB101+AG101</f>
        <v>14000</v>
      </c>
      <c r="J101" s="21" t="n">
        <f aca="false">SUM(K101:O101)</f>
        <v>0</v>
      </c>
      <c r="K101" s="21"/>
      <c r="L101" s="21"/>
      <c r="M101" s="21"/>
      <c r="N101" s="21"/>
      <c r="O101" s="21"/>
      <c r="P101" s="22" t="n">
        <f aca="false">SUM(Q101:U101)</f>
        <v>14000</v>
      </c>
      <c r="Q101" s="21"/>
      <c r="R101" s="21" t="n">
        <v>13986</v>
      </c>
      <c r="S101" s="21" t="n">
        <v>14</v>
      </c>
      <c r="T101" s="21"/>
      <c r="U101" s="21"/>
      <c r="V101" s="22" t="n">
        <f aca="false">SUM(W101:AA101)</f>
        <v>0</v>
      </c>
      <c r="W101" s="21"/>
      <c r="X101" s="21"/>
      <c r="Y101" s="21"/>
      <c r="Z101" s="21"/>
      <c r="AA101" s="21"/>
      <c r="AB101" s="22" t="n">
        <f aca="false">SUM(AC101:AF101)</f>
        <v>0</v>
      </c>
      <c r="AC101" s="21"/>
      <c r="AD101" s="21"/>
      <c r="AE101" s="21"/>
      <c r="AF101" s="21"/>
      <c r="AG101" s="21" t="n">
        <f aca="false">SUM(AH101:AK101)</f>
        <v>0</v>
      </c>
      <c r="AH101" s="21"/>
      <c r="AI101" s="21"/>
      <c r="AJ101" s="21"/>
      <c r="AK101" s="21"/>
      <c r="AL101" s="31" t="s">
        <v>573</v>
      </c>
      <c r="AM101" s="31"/>
      <c r="AN101" s="31" t="s">
        <v>25</v>
      </c>
      <c r="AO101" s="31" t="s">
        <v>151</v>
      </c>
      <c r="AP101" s="31"/>
      <c r="AQ101" s="31" t="s">
        <v>248</v>
      </c>
      <c r="AR101" s="31" t="s">
        <v>279</v>
      </c>
      <c r="AS101" s="31" t="s">
        <v>249</v>
      </c>
      <c r="AT101" s="31" t="s">
        <v>249</v>
      </c>
      <c r="AU101" s="31"/>
      <c r="AV101" s="15" t="s">
        <v>155</v>
      </c>
      <c r="AW101" s="29" t="s">
        <v>90</v>
      </c>
      <c r="AX101" s="31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</row>
    <row r="102" customFormat="false" ht="158.8" hidden="false" customHeight="true" outlineLevel="0" collapsed="false">
      <c r="A102" s="18" t="s">
        <v>591</v>
      </c>
      <c r="B102" s="19" t="s">
        <v>592</v>
      </c>
      <c r="C102" s="19" t="s">
        <v>41</v>
      </c>
      <c r="D102" s="23" t="s">
        <v>593</v>
      </c>
      <c r="E102" s="20" t="s">
        <v>213</v>
      </c>
      <c r="F102" s="19" t="s">
        <v>221</v>
      </c>
      <c r="G102" s="19" t="s">
        <v>594</v>
      </c>
      <c r="H102" s="19" t="s">
        <v>113</v>
      </c>
      <c r="I102" s="21" t="n">
        <f aca="false">J102+P102+V102+AB102+AG102</f>
        <v>986687.56667</v>
      </c>
      <c r="J102" s="21" t="n">
        <f aca="false">SUM(K102:O102)</f>
        <v>693939.4</v>
      </c>
      <c r="K102" s="37" t="n">
        <f aca="false">0+687000</f>
        <v>687000</v>
      </c>
      <c r="L102" s="37" t="n">
        <v>6939.4</v>
      </c>
      <c r="M102" s="22"/>
      <c r="N102" s="22"/>
      <c r="O102" s="22"/>
      <c r="P102" s="22" t="n">
        <f aca="false">SUM(Q102:U102)</f>
        <v>202861.5</v>
      </c>
      <c r="Q102" s="22" t="n">
        <f aca="false">0+178518.1</f>
        <v>178518.1</v>
      </c>
      <c r="R102" s="22" t="n">
        <v>24343.4</v>
      </c>
      <c r="S102" s="22"/>
      <c r="T102" s="22"/>
      <c r="U102" s="22"/>
      <c r="V102" s="22" t="n">
        <f aca="false">SUM(W102:AA102)</f>
        <v>89886.66667</v>
      </c>
      <c r="W102" s="22" t="n">
        <f aca="false">0+88987.8</f>
        <v>88987.8</v>
      </c>
      <c r="X102" s="22" t="n">
        <v>898.86667</v>
      </c>
      <c r="Y102" s="22"/>
      <c r="Z102" s="22"/>
      <c r="AA102" s="22"/>
      <c r="AB102" s="22" t="n">
        <f aca="false">SUM(AC102:AF102)</f>
        <v>0</v>
      </c>
      <c r="AC102" s="22"/>
      <c r="AD102" s="22"/>
      <c r="AE102" s="22"/>
      <c r="AF102" s="22"/>
      <c r="AG102" s="21" t="n">
        <f aca="false">SUM(AH102:AK102)</f>
        <v>0</v>
      </c>
      <c r="AH102" s="22"/>
      <c r="AI102" s="22"/>
      <c r="AJ102" s="22"/>
      <c r="AK102" s="22"/>
      <c r="AL102" s="23" t="s">
        <v>595</v>
      </c>
      <c r="AM102" s="19" t="s">
        <v>27</v>
      </c>
      <c r="AN102" s="19"/>
      <c r="AO102" s="19" t="s">
        <v>596</v>
      </c>
      <c r="AP102" s="19"/>
      <c r="AQ102" s="19" t="s">
        <v>41</v>
      </c>
      <c r="AR102" s="19" t="s">
        <v>41</v>
      </c>
      <c r="AS102" s="19" t="s">
        <v>41</v>
      </c>
      <c r="AT102" s="19" t="s">
        <v>41</v>
      </c>
      <c r="AU102" s="19"/>
      <c r="AV102" s="16" t="s">
        <v>53</v>
      </c>
      <c r="AW102" s="19" t="s">
        <v>63</v>
      </c>
      <c r="AX102" s="19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</row>
    <row r="103" customFormat="false" ht="90" hidden="false" customHeight="true" outlineLevel="0" collapsed="false">
      <c r="A103" s="18" t="s">
        <v>597</v>
      </c>
      <c r="B103" s="15" t="s">
        <v>598</v>
      </c>
      <c r="C103" s="15" t="s">
        <v>599</v>
      </c>
      <c r="D103" s="15" t="s">
        <v>600</v>
      </c>
      <c r="E103" s="18" t="s">
        <v>120</v>
      </c>
      <c r="F103" s="15" t="s">
        <v>121</v>
      </c>
      <c r="G103" s="15" t="s">
        <v>601</v>
      </c>
      <c r="H103" s="15" t="s">
        <v>67</v>
      </c>
      <c r="I103" s="21" t="n">
        <f aca="false">J103+P103+V103+AB103+AG103</f>
        <v>757290.3363</v>
      </c>
      <c r="J103" s="21" t="n">
        <f aca="false">SUM(K103:O103)</f>
        <v>757290.3363</v>
      </c>
      <c r="K103" s="21" t="n">
        <v>431742.2</v>
      </c>
      <c r="L103" s="21" t="n">
        <v>4361.03235</v>
      </c>
      <c r="M103" s="21" t="n">
        <v>120593.5535</v>
      </c>
      <c r="N103" s="21"/>
      <c r="O103" s="21" t="n">
        <v>200593.55045</v>
      </c>
      <c r="P103" s="22" t="n">
        <f aca="false">SUM(Q103:U103)</f>
        <v>0</v>
      </c>
      <c r="Q103" s="21"/>
      <c r="R103" s="21"/>
      <c r="S103" s="21"/>
      <c r="T103" s="21"/>
      <c r="U103" s="21"/>
      <c r="V103" s="22" t="n">
        <f aca="false">SUM(W103:AA103)</f>
        <v>0</v>
      </c>
      <c r="W103" s="21"/>
      <c r="X103" s="21"/>
      <c r="Y103" s="21"/>
      <c r="Z103" s="21"/>
      <c r="AA103" s="21"/>
      <c r="AB103" s="22" t="n">
        <f aca="false">SUM(AC103:AF103)</f>
        <v>0</v>
      </c>
      <c r="AC103" s="21"/>
      <c r="AD103" s="21"/>
      <c r="AE103" s="21"/>
      <c r="AF103" s="21"/>
      <c r="AG103" s="21" t="n">
        <f aca="false">SUM(AH103:AK103)</f>
        <v>0</v>
      </c>
      <c r="AH103" s="21"/>
      <c r="AI103" s="21"/>
      <c r="AJ103" s="21"/>
      <c r="AK103" s="21"/>
      <c r="AL103" s="15" t="s">
        <v>602</v>
      </c>
      <c r="AM103" s="17" t="s">
        <v>25</v>
      </c>
      <c r="AN103" s="17"/>
      <c r="AO103" s="15" t="s">
        <v>603</v>
      </c>
      <c r="AP103" s="17" t="s">
        <v>604</v>
      </c>
      <c r="AQ103" s="15" t="s">
        <v>67</v>
      </c>
      <c r="AR103" s="15" t="s">
        <v>599</v>
      </c>
      <c r="AS103" s="15" t="s">
        <v>67</v>
      </c>
      <c r="AT103" s="15" t="s">
        <v>605</v>
      </c>
      <c r="AU103" s="15" t="s">
        <v>606</v>
      </c>
      <c r="AV103" s="15" t="s">
        <v>155</v>
      </c>
      <c r="AW103" s="17" t="s">
        <v>54</v>
      </c>
      <c r="AX103" s="15" t="s">
        <v>607</v>
      </c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</row>
    <row r="104" customFormat="false" ht="118.3" hidden="false" customHeight="true" outlineLevel="0" collapsed="false">
      <c r="A104" s="18" t="s">
        <v>608</v>
      </c>
      <c r="B104" s="15" t="s">
        <v>598</v>
      </c>
      <c r="C104" s="15" t="s">
        <v>599</v>
      </c>
      <c r="D104" s="15" t="s">
        <v>600</v>
      </c>
      <c r="E104" s="18" t="s">
        <v>609</v>
      </c>
      <c r="F104" s="18" t="s">
        <v>610</v>
      </c>
      <c r="G104" s="15" t="s">
        <v>611</v>
      </c>
      <c r="H104" s="15" t="s">
        <v>67</v>
      </c>
      <c r="I104" s="21" t="n">
        <f aca="false">J104+P104+V104+AB104+AG104</f>
        <v>1298071.44806</v>
      </c>
      <c r="J104" s="21" t="n">
        <f aca="false">SUM(K104:O104)</f>
        <v>358743.01888</v>
      </c>
      <c r="K104" s="80" t="n">
        <v>350000</v>
      </c>
      <c r="L104" s="21" t="n">
        <f aca="false">61867.0694-58331.71586</f>
        <v>3535.35354</v>
      </c>
      <c r="M104" s="21" t="n">
        <v>5207.66534</v>
      </c>
      <c r="N104" s="21"/>
      <c r="O104" s="21"/>
      <c r="P104" s="22" t="n">
        <f aca="false">SUM(Q104:U104)</f>
        <v>707308.13256</v>
      </c>
      <c r="Q104" s="80" t="n">
        <f aca="false">567113.8+1</f>
        <v>567114.8</v>
      </c>
      <c r="R104" s="21" t="n">
        <f aca="false">61867.0694-56138.63708</f>
        <v>5728.43232</v>
      </c>
      <c r="S104" s="21" t="n">
        <v>5207.66534</v>
      </c>
      <c r="T104" s="21"/>
      <c r="U104" s="21" t="n">
        <v>129257.2349</v>
      </c>
      <c r="V104" s="22" t="n">
        <f aca="false">SUM(W104:AA104)</f>
        <v>232020.29662</v>
      </c>
      <c r="W104" s="80" t="n">
        <f aca="false">179929.4+37185.4</f>
        <v>217114.8</v>
      </c>
      <c r="X104" s="21" t="n">
        <v>13748.23762</v>
      </c>
      <c r="Y104" s="21" t="n">
        <v>1157.259</v>
      </c>
      <c r="Z104" s="21"/>
      <c r="AA104" s="21"/>
      <c r="AB104" s="22" t="n">
        <f aca="false">SUM(AC104:AF104)</f>
        <v>0</v>
      </c>
      <c r="AC104" s="21"/>
      <c r="AD104" s="21"/>
      <c r="AE104" s="21"/>
      <c r="AF104" s="21"/>
      <c r="AG104" s="21" t="n">
        <f aca="false">SUM(AH104:AK104)</f>
        <v>0</v>
      </c>
      <c r="AH104" s="21"/>
      <c r="AI104" s="21"/>
      <c r="AJ104" s="21"/>
      <c r="AK104" s="21"/>
      <c r="AL104" s="15" t="s">
        <v>602</v>
      </c>
      <c r="AM104" s="17" t="s">
        <v>27</v>
      </c>
      <c r="AN104" s="17"/>
      <c r="AO104" s="15" t="s">
        <v>603</v>
      </c>
      <c r="AP104" s="17" t="s">
        <v>612</v>
      </c>
      <c r="AQ104" s="15" t="s">
        <v>67</v>
      </c>
      <c r="AR104" s="15" t="s">
        <v>599</v>
      </c>
      <c r="AS104" s="15" t="s">
        <v>67</v>
      </c>
      <c r="AT104" s="15" t="s">
        <v>605</v>
      </c>
      <c r="AU104" s="28" t="s">
        <v>613</v>
      </c>
      <c r="AV104" s="15" t="s">
        <v>155</v>
      </c>
      <c r="AW104" s="17" t="s">
        <v>63</v>
      </c>
      <c r="AX104" s="81" t="s">
        <v>614</v>
      </c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</row>
    <row r="105" customFormat="false" ht="124.5" hidden="false" customHeight="true" outlineLevel="0" collapsed="false">
      <c r="A105" s="18" t="s">
        <v>615</v>
      </c>
      <c r="B105" s="15" t="s">
        <v>598</v>
      </c>
      <c r="C105" s="15" t="s">
        <v>599</v>
      </c>
      <c r="D105" s="15" t="s">
        <v>600</v>
      </c>
      <c r="E105" s="18" t="s">
        <v>609</v>
      </c>
      <c r="F105" s="18" t="s">
        <v>610</v>
      </c>
      <c r="G105" s="15" t="s">
        <v>616</v>
      </c>
      <c r="H105" s="15" t="s">
        <v>244</v>
      </c>
      <c r="I105" s="21" t="n">
        <f aca="false">J105+P105+V105+AB105+AG105</f>
        <v>256463.5325</v>
      </c>
      <c r="J105" s="21" t="n">
        <f aca="false">SUM(K105:O105)</f>
        <v>100000</v>
      </c>
      <c r="K105" s="21" t="n">
        <v>98010</v>
      </c>
      <c r="L105" s="21" t="n">
        <f aca="false">43190-36582.61647-5617.38353</f>
        <v>989.999999999999</v>
      </c>
      <c r="M105" s="21" t="n">
        <v>1000</v>
      </c>
      <c r="N105" s="21"/>
      <c r="O105" s="21"/>
      <c r="P105" s="22" t="n">
        <f aca="false">SUM(Q105:U105)</f>
        <v>156463.5325</v>
      </c>
      <c r="Q105" s="21" t="n">
        <f aca="false">122513.5-1</f>
        <v>122512.5</v>
      </c>
      <c r="R105" s="21" t="n">
        <f aca="false">24850-22948.9675</f>
        <v>1901.0325</v>
      </c>
      <c r="S105" s="21" t="n">
        <v>1250</v>
      </c>
      <c r="T105" s="21"/>
      <c r="U105" s="21" t="n">
        <v>30800</v>
      </c>
      <c r="V105" s="22" t="n">
        <f aca="false">SUM(W105:AA105)</f>
        <v>0</v>
      </c>
      <c r="W105" s="21"/>
      <c r="X105" s="21"/>
      <c r="Y105" s="21"/>
      <c r="Z105" s="21"/>
      <c r="AA105" s="21"/>
      <c r="AB105" s="22" t="n">
        <f aca="false">SUM(AC105:AF105)</f>
        <v>0</v>
      </c>
      <c r="AC105" s="21"/>
      <c r="AD105" s="21"/>
      <c r="AE105" s="21"/>
      <c r="AF105" s="21"/>
      <c r="AG105" s="21" t="n">
        <f aca="false">SUM(AH105:AK105)</f>
        <v>0</v>
      </c>
      <c r="AH105" s="21"/>
      <c r="AI105" s="21"/>
      <c r="AJ105" s="21"/>
      <c r="AK105" s="21"/>
      <c r="AL105" s="15" t="s">
        <v>602</v>
      </c>
      <c r="AM105" s="17" t="s">
        <v>25</v>
      </c>
      <c r="AN105" s="17"/>
      <c r="AO105" s="15" t="s">
        <v>603</v>
      </c>
      <c r="AP105" s="17" t="s">
        <v>617</v>
      </c>
      <c r="AQ105" s="15" t="s">
        <v>244</v>
      </c>
      <c r="AR105" s="15" t="s">
        <v>599</v>
      </c>
      <c r="AS105" s="15" t="s">
        <v>244</v>
      </c>
      <c r="AT105" s="15" t="s">
        <v>618</v>
      </c>
      <c r="AU105" s="28" t="s">
        <v>619</v>
      </c>
      <c r="AV105" s="15" t="s">
        <v>155</v>
      </c>
      <c r="AW105" s="17" t="s">
        <v>63</v>
      </c>
      <c r="AX105" s="81" t="s">
        <v>620</v>
      </c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</row>
    <row r="106" customFormat="false" ht="124.5" hidden="false" customHeight="true" outlineLevel="0" collapsed="false">
      <c r="A106" s="18" t="s">
        <v>621</v>
      </c>
      <c r="B106" s="15" t="s">
        <v>598</v>
      </c>
      <c r="C106" s="31" t="s">
        <v>426</v>
      </c>
      <c r="D106" s="82" t="s">
        <v>622</v>
      </c>
      <c r="E106" s="18" t="s">
        <v>436</v>
      </c>
      <c r="F106" s="60" t="s">
        <v>446</v>
      </c>
      <c r="G106" s="15" t="s">
        <v>623</v>
      </c>
      <c r="H106" s="76" t="s">
        <v>584</v>
      </c>
      <c r="I106" s="21" t="n">
        <f aca="false">J106+P106+V106+AB106+AG106</f>
        <v>2360047.3</v>
      </c>
      <c r="J106" s="21" t="n">
        <f aca="false">SUM(K106:O106)</f>
        <v>0</v>
      </c>
      <c r="K106" s="21"/>
      <c r="L106" s="21"/>
      <c r="M106" s="21"/>
      <c r="N106" s="21"/>
      <c r="O106" s="21"/>
      <c r="P106" s="22" t="n">
        <f aca="false">SUM(Q106:U106)</f>
        <v>1345979</v>
      </c>
      <c r="Q106" s="21" t="n">
        <v>1345979</v>
      </c>
      <c r="R106" s="21"/>
      <c r="S106" s="21"/>
      <c r="T106" s="21"/>
      <c r="U106" s="21"/>
      <c r="V106" s="22" t="n">
        <f aca="false">SUM(W106:AA106)</f>
        <v>1014068.3</v>
      </c>
      <c r="W106" s="21" t="n">
        <v>1014068.3</v>
      </c>
      <c r="X106" s="21"/>
      <c r="Y106" s="21"/>
      <c r="Z106" s="21"/>
      <c r="AA106" s="21"/>
      <c r="AB106" s="22" t="n">
        <f aca="false">SUM(AC106:AF106)</f>
        <v>0</v>
      </c>
      <c r="AC106" s="21"/>
      <c r="AD106" s="21"/>
      <c r="AE106" s="21"/>
      <c r="AF106" s="21"/>
      <c r="AG106" s="21" t="n">
        <f aca="false">SUM(AH106:AK106)</f>
        <v>0</v>
      </c>
      <c r="AH106" s="21"/>
      <c r="AI106" s="21"/>
      <c r="AJ106" s="21"/>
      <c r="AK106" s="21"/>
      <c r="AL106" s="82" t="s">
        <v>624</v>
      </c>
      <c r="AM106" s="17" t="s">
        <v>27</v>
      </c>
      <c r="AN106" s="17"/>
      <c r="AO106" s="76" t="s">
        <v>48</v>
      </c>
      <c r="AP106" s="76" t="s">
        <v>625</v>
      </c>
      <c r="AQ106" s="76" t="s">
        <v>441</v>
      </c>
      <c r="AR106" s="15" t="s">
        <v>599</v>
      </c>
      <c r="AS106" s="76" t="s">
        <v>441</v>
      </c>
      <c r="AT106" s="76" t="s">
        <v>441</v>
      </c>
      <c r="AU106" s="61" t="s">
        <v>626</v>
      </c>
      <c r="AV106" s="76" t="s">
        <v>126</v>
      </c>
      <c r="AW106" s="76" t="s">
        <v>412</v>
      </c>
      <c r="AX106" s="76" t="s">
        <v>627</v>
      </c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</row>
    <row r="107" customFormat="false" ht="124.5" hidden="false" customHeight="true" outlineLevel="0" collapsed="false">
      <c r="A107" s="18" t="s">
        <v>628</v>
      </c>
      <c r="B107" s="68" t="s">
        <v>425</v>
      </c>
      <c r="C107" s="83" t="s">
        <v>426</v>
      </c>
      <c r="D107" s="82" t="s">
        <v>629</v>
      </c>
      <c r="E107" s="84" t="s">
        <v>436</v>
      </c>
      <c r="F107" s="84" t="s">
        <v>446</v>
      </c>
      <c r="G107" s="83" t="s">
        <v>630</v>
      </c>
      <c r="H107" s="83" t="s">
        <v>67</v>
      </c>
      <c r="I107" s="21" t="n">
        <f aca="false">J107+P107+V107+AB107+AG107</f>
        <v>172.6782</v>
      </c>
      <c r="J107" s="85" t="n">
        <f aca="false">SUM(K107:O107)</f>
        <v>172.6782</v>
      </c>
      <c r="K107" s="86"/>
      <c r="L107" s="86" t="n">
        <v>172.6782</v>
      </c>
      <c r="M107" s="86"/>
      <c r="N107" s="86"/>
      <c r="O107" s="86"/>
      <c r="P107" s="87" t="n">
        <f aca="false">SUM(Q107:U107)</f>
        <v>0</v>
      </c>
      <c r="Q107" s="88"/>
      <c r="R107" s="89"/>
      <c r="S107" s="86"/>
      <c r="T107" s="86"/>
      <c r="U107" s="86"/>
      <c r="V107" s="87" t="n">
        <f aca="false">SUM(W107:AA107)</f>
        <v>0</v>
      </c>
      <c r="W107" s="86"/>
      <c r="X107" s="86"/>
      <c r="Y107" s="86"/>
      <c r="Z107" s="86"/>
      <c r="AA107" s="86"/>
      <c r="AB107" s="87" t="n">
        <f aca="false">SUM(AC107:AF107)</f>
        <v>0</v>
      </c>
      <c r="AC107" s="86"/>
      <c r="AD107" s="86"/>
      <c r="AE107" s="86"/>
      <c r="AF107" s="86"/>
      <c r="AG107" s="85" t="n">
        <f aca="false">SUM(AH107:AK107)</f>
        <v>0</v>
      </c>
      <c r="AH107" s="86"/>
      <c r="AI107" s="86"/>
      <c r="AJ107" s="86"/>
      <c r="AK107" s="86"/>
      <c r="AL107" s="82" t="s">
        <v>448</v>
      </c>
      <c r="AM107" s="83" t="s">
        <v>25</v>
      </c>
      <c r="AN107" s="83" t="s">
        <v>204</v>
      </c>
      <c r="AO107" s="83" t="s">
        <v>48</v>
      </c>
      <c r="AP107" s="64" t="s">
        <v>631</v>
      </c>
      <c r="AQ107" s="83" t="s">
        <v>632</v>
      </c>
      <c r="AR107" s="83" t="s">
        <v>426</v>
      </c>
      <c r="AS107" s="83" t="s">
        <v>632</v>
      </c>
      <c r="AT107" s="83" t="s">
        <v>632</v>
      </c>
      <c r="AU107" s="89" t="s">
        <v>633</v>
      </c>
      <c r="AV107" s="64" t="s">
        <v>53</v>
      </c>
      <c r="AW107" s="83" t="s">
        <v>127</v>
      </c>
      <c r="AX107" s="83" t="s">
        <v>634</v>
      </c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</row>
    <row r="108" customFormat="false" ht="124.5" hidden="false" customHeight="true" outlineLevel="0" collapsed="false">
      <c r="A108" s="18" t="s">
        <v>635</v>
      </c>
      <c r="B108" s="68" t="s">
        <v>425</v>
      </c>
      <c r="C108" s="83" t="s">
        <v>426</v>
      </c>
      <c r="D108" s="82" t="s">
        <v>629</v>
      </c>
      <c r="E108" s="84" t="s">
        <v>436</v>
      </c>
      <c r="F108" s="84" t="s">
        <v>446</v>
      </c>
      <c r="G108" s="83" t="s">
        <v>636</v>
      </c>
      <c r="H108" s="83" t="s">
        <v>67</v>
      </c>
      <c r="I108" s="21" t="n">
        <f aca="false">J108+P108+V108+AB108+AG108</f>
        <v>284.5185</v>
      </c>
      <c r="J108" s="85" t="n">
        <f aca="false">SUM(K108:O108)</f>
        <v>284.5185</v>
      </c>
      <c r="K108" s="86"/>
      <c r="L108" s="86" t="n">
        <v>284.5185</v>
      </c>
      <c r="M108" s="86"/>
      <c r="N108" s="86"/>
      <c r="O108" s="86"/>
      <c r="P108" s="87" t="n">
        <f aca="false">SUM(Q108:U108)</f>
        <v>0</v>
      </c>
      <c r="Q108" s="86"/>
      <c r="R108" s="86"/>
      <c r="S108" s="86"/>
      <c r="T108" s="86"/>
      <c r="U108" s="86"/>
      <c r="V108" s="87" t="n">
        <f aca="false">SUM(W108:AA108)</f>
        <v>0</v>
      </c>
      <c r="W108" s="86"/>
      <c r="X108" s="86"/>
      <c r="Y108" s="86"/>
      <c r="Z108" s="86"/>
      <c r="AA108" s="86"/>
      <c r="AB108" s="87" t="n">
        <f aca="false">SUM(AC108:AF108)</f>
        <v>0</v>
      </c>
      <c r="AC108" s="86"/>
      <c r="AD108" s="86"/>
      <c r="AE108" s="86"/>
      <c r="AF108" s="86"/>
      <c r="AG108" s="85" t="n">
        <f aca="false">SUM(AH108:AK108)</f>
        <v>0</v>
      </c>
      <c r="AH108" s="86"/>
      <c r="AI108" s="86"/>
      <c r="AJ108" s="86"/>
      <c r="AK108" s="86"/>
      <c r="AL108" s="82" t="s">
        <v>448</v>
      </c>
      <c r="AM108" s="90" t="s">
        <v>25</v>
      </c>
      <c r="AN108" s="83" t="s">
        <v>204</v>
      </c>
      <c r="AO108" s="83" t="s">
        <v>48</v>
      </c>
      <c r="AP108" s="64" t="s">
        <v>637</v>
      </c>
      <c r="AQ108" s="83" t="s">
        <v>632</v>
      </c>
      <c r="AR108" s="83" t="s">
        <v>426</v>
      </c>
      <c r="AS108" s="83" t="s">
        <v>632</v>
      </c>
      <c r="AT108" s="83" t="s">
        <v>632</v>
      </c>
      <c r="AU108" s="89" t="s">
        <v>638</v>
      </c>
      <c r="AV108" s="64" t="s">
        <v>53</v>
      </c>
      <c r="AW108" s="83" t="s">
        <v>127</v>
      </c>
      <c r="AX108" s="83" t="s">
        <v>639</v>
      </c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</row>
    <row r="109" customFormat="false" ht="27.75" hidden="false" customHeight="true" outlineLevel="0" collapsed="false">
      <c r="A109" s="18" t="s">
        <v>640</v>
      </c>
      <c r="B109" s="16" t="s">
        <v>32</v>
      </c>
      <c r="C109" s="16"/>
      <c r="D109" s="16"/>
      <c r="E109" s="16"/>
      <c r="F109" s="16"/>
      <c r="G109" s="16"/>
      <c r="H109" s="16"/>
      <c r="I109" s="54" t="n">
        <f aca="false">SUM(I9:I108)</f>
        <v>49342509.69979</v>
      </c>
      <c r="J109" s="54" t="n">
        <f aca="false">SUM(J9:J108)</f>
        <v>23030931.71574</v>
      </c>
      <c r="K109" s="54" t="n">
        <f aca="false">SUM(K9:K108)</f>
        <v>14671262.29463</v>
      </c>
      <c r="L109" s="54" t="n">
        <f aca="false">SUM(L9:L108)</f>
        <v>5544603.56501</v>
      </c>
      <c r="M109" s="54" t="n">
        <f aca="false">SUM(M9:M108)</f>
        <v>146327.04916</v>
      </c>
      <c r="N109" s="54" t="n">
        <f aca="false">SUM(N9:N108)</f>
        <v>18145.25649</v>
      </c>
      <c r="O109" s="54" t="n">
        <f aca="false">SUM(O9:O108)</f>
        <v>2650593.55045</v>
      </c>
      <c r="P109" s="54" t="n">
        <f aca="false">SUM(P9:P108)</f>
        <v>12423199.50866</v>
      </c>
      <c r="Q109" s="54" t="n">
        <f aca="false">SUM(Q9:Q108)</f>
        <v>4234157.3</v>
      </c>
      <c r="R109" s="54" t="n">
        <f aca="false">SUM(R9:R108)</f>
        <v>7450228.64665</v>
      </c>
      <c r="S109" s="54" t="n">
        <f aca="false">SUM(S9:S108)</f>
        <v>578756.32711</v>
      </c>
      <c r="T109" s="54" t="n">
        <f aca="false">SUM(T9:T108)</f>
        <v>0</v>
      </c>
      <c r="U109" s="54" t="n">
        <f aca="false">SUM(U9:U108)</f>
        <v>160057.2349</v>
      </c>
      <c r="V109" s="54" t="n">
        <f aca="false">SUM(V9:V108)</f>
        <v>9417966.47539</v>
      </c>
      <c r="W109" s="54" t="n">
        <f aca="false">SUM(W9:W108)</f>
        <v>5232009.5</v>
      </c>
      <c r="X109" s="54" t="n">
        <f aca="false">SUM(X9:X108)</f>
        <v>4175149.71639</v>
      </c>
      <c r="Y109" s="54" t="n">
        <f aca="false">SUM(Y9:Y108)</f>
        <v>10807.259</v>
      </c>
      <c r="Z109" s="54" t="n">
        <f aca="false">SUM(Z9:Z108)</f>
        <v>0</v>
      </c>
      <c r="AA109" s="54" t="n">
        <f aca="false">SUM(AA9:AA108)</f>
        <v>0</v>
      </c>
      <c r="AB109" s="54" t="n">
        <f aca="false">SUM(AB9:AB108)</f>
        <v>4351662</v>
      </c>
      <c r="AC109" s="54" t="n">
        <f aca="false">SUM(AC9:AC108)</f>
        <v>268800</v>
      </c>
      <c r="AD109" s="54" t="n">
        <f aca="false">SUM(AD9:AD108)</f>
        <v>2135447.48335</v>
      </c>
      <c r="AE109" s="54" t="n">
        <f aca="false">SUM(AE9:AE108)</f>
        <v>527223.662</v>
      </c>
      <c r="AF109" s="54" t="n">
        <f aca="false">SUM(AF9:AF108)</f>
        <v>1420190.85465</v>
      </c>
      <c r="AG109" s="54" t="n">
        <f aca="false">SUM(AG9:AG108)</f>
        <v>118750</v>
      </c>
      <c r="AH109" s="54" t="n">
        <f aca="false">SUM(AH9:AH108)</f>
        <v>0</v>
      </c>
      <c r="AI109" s="54" t="n">
        <f aca="false">SUM(AI9:AI108)</f>
        <v>118750</v>
      </c>
      <c r="AJ109" s="54" t="n">
        <f aca="false">SUM(AJ9:AJ108)</f>
        <v>0</v>
      </c>
      <c r="AK109" s="54" t="n">
        <f aca="false">SUM(AK9:AK108)</f>
        <v>0</v>
      </c>
      <c r="AL109" s="91"/>
      <c r="AM109" s="91"/>
    </row>
    <row r="110" customFormat="false" ht="27.75" hidden="false" customHeight="true" outlineLevel="0" collapsed="false">
      <c r="A110" s="18"/>
      <c r="B110" s="92" t="s">
        <v>40</v>
      </c>
      <c r="C110" s="92"/>
      <c r="D110" s="92"/>
      <c r="E110" s="92"/>
      <c r="F110" s="92"/>
      <c r="G110" s="92"/>
      <c r="H110" s="92"/>
      <c r="I110" s="54" t="n">
        <f aca="false">I9+I10+I11+I12+I13+I14+I15+I16+I17+I18</f>
        <v>5688385.92116</v>
      </c>
      <c r="J110" s="54" t="n">
        <f aca="false">J9+J10+J11+J12+J13+J14+J15+J16+J17+J18</f>
        <v>1980530.09132</v>
      </c>
      <c r="K110" s="54" t="n">
        <f aca="false">K9+K10+K11+K12+K13+K14+K15+K16+K17+K18</f>
        <v>1097212.00615</v>
      </c>
      <c r="L110" s="54" t="n">
        <f aca="false">L9+L10+L11+L12+L13+L14+L15+L16+L17+L18</f>
        <v>883318.08517</v>
      </c>
      <c r="M110" s="54" t="n">
        <f aca="false">M9+M10+M11+M12+M13+M14+M15+M16+M17+M18</f>
        <v>0</v>
      </c>
      <c r="N110" s="54" t="n">
        <f aca="false">N9+N10+N11+N12+N13+N14+N15+N16+N17+N18</f>
        <v>0</v>
      </c>
      <c r="O110" s="54" t="n">
        <f aca="false">O9+O10+O11+O12+O13+O14+O15+O16+O17+O18</f>
        <v>0</v>
      </c>
      <c r="P110" s="54" t="n">
        <f aca="false">P9+P10+P11+P12+P13+P14+P15+P16+P17+P18</f>
        <v>1168293.68624</v>
      </c>
      <c r="Q110" s="54" t="n">
        <f aca="false">Q9+Q10+Q11+Q12+Q13+Q14+Q15+Q16+Q17+Q18</f>
        <v>0</v>
      </c>
      <c r="R110" s="54" t="n">
        <f aca="false">R9+R10+R11+R12+R13+R14+R15+R16+R17+R18</f>
        <v>1168293.68624</v>
      </c>
      <c r="S110" s="54" t="n">
        <f aca="false">S9+S10+S11+S12+S13+S14+S15+S16+S17+S18</f>
        <v>0</v>
      </c>
      <c r="T110" s="54" t="n">
        <f aca="false">T9+T10+T11+T12+T13+T14+T15+T16+T17+T18</f>
        <v>0</v>
      </c>
      <c r="U110" s="54" t="n">
        <f aca="false">U9+U10+U11+U12+U13+U14+U15+U16+U17+U18</f>
        <v>0</v>
      </c>
      <c r="V110" s="54" t="n">
        <f aca="false">V9+V10+V11+V12+V13+V14+V15+V16+V17+V18</f>
        <v>2539562.1436</v>
      </c>
      <c r="W110" s="54" t="n">
        <f aca="false">W9+W10+W11+W12+W13+W14+W15+W16+W17+W18</f>
        <v>1820700</v>
      </c>
      <c r="X110" s="54" t="n">
        <f aca="false">X9+X10+X11+X12+X13+X14+X15+X16+X17+X18</f>
        <v>718862.1436</v>
      </c>
      <c r="Y110" s="54" t="n">
        <f aca="false">Y9+Y10+Y11+Y12+Y13+Y14+Y15+Y16+Y17+Y18</f>
        <v>0</v>
      </c>
      <c r="Z110" s="54" t="n">
        <f aca="false">Z9+Z10+Z11+Z12+Z13+Z14+Z15+Z16+Z17+Z18</f>
        <v>0</v>
      </c>
      <c r="AA110" s="54" t="n">
        <f aca="false">AA9+AA10+AA11+AA12+AA13+AA14+AA15+AA16+AA17+AA18</f>
        <v>0</v>
      </c>
      <c r="AB110" s="54" t="n">
        <f aca="false">AB9+AB10+AB11+AB12+AB13+AB14+AB15+AB16+AB17+AB18</f>
        <v>0</v>
      </c>
      <c r="AC110" s="54" t="n">
        <f aca="false">AC9+AC10+AC11+AC12+AC13+AC14+AC15+AC16+AC17+AC18</f>
        <v>0</v>
      </c>
      <c r="AD110" s="54" t="n">
        <f aca="false">AD9+AD10+AD11+AD12+AD13+AD14+AD15+AD16+AD17+AD18</f>
        <v>0</v>
      </c>
      <c r="AE110" s="54" t="n">
        <f aca="false">AE9+AE10+AE11+AE12+AE13+AE14+AE15+AE16+AE17+AE18</f>
        <v>0</v>
      </c>
      <c r="AF110" s="54" t="n">
        <f aca="false">AF9+AF10+AF11+AF12+AF13+AF14+AF15+AF16+AF17+AF18</f>
        <v>0</v>
      </c>
      <c r="AG110" s="54" t="n">
        <f aca="false">AG9+AG10+AG11+AG12+AG13+AG14+AG15+AG16+AG17+AG18</f>
        <v>0</v>
      </c>
      <c r="AH110" s="54" t="n">
        <f aca="false">AH9+AH10+AH11+AH12+AH13+AH14+AH15+AH16+AH17+AH18</f>
        <v>0</v>
      </c>
      <c r="AI110" s="54" t="n">
        <f aca="false">AI9+AI10+AI11+AI12+AI13+AI14+AI15+AI16+AI17+AI18</f>
        <v>0</v>
      </c>
      <c r="AJ110" s="54" t="n">
        <f aca="false">AJ9+AJ10+AJ11+AJ12+AJ13+AJ14+AJ15+AJ16+AJ17+AJ18</f>
        <v>0</v>
      </c>
      <c r="AK110" s="54" t="n">
        <f aca="false">AK9+AK10+AK11+AK12+AK13+AK14+AK15+AK16+AK17+AK18</f>
        <v>0</v>
      </c>
      <c r="AL110" s="91"/>
      <c r="AM110" s="91"/>
    </row>
    <row r="111" customFormat="false" ht="27.75" hidden="false" customHeight="true" outlineLevel="0" collapsed="false">
      <c r="A111" s="18"/>
      <c r="B111" s="92" t="s">
        <v>100</v>
      </c>
      <c r="C111" s="92"/>
      <c r="D111" s="92"/>
      <c r="E111" s="92"/>
      <c r="F111" s="92"/>
      <c r="G111" s="92"/>
      <c r="H111" s="92"/>
      <c r="I111" s="54" t="n">
        <f aca="false">I19+I20+I21</f>
        <v>1053849.12</v>
      </c>
      <c r="J111" s="54" t="n">
        <f aca="false">J19+J20+J21</f>
        <v>665238.52</v>
      </c>
      <c r="K111" s="54" t="n">
        <f aca="false">K19+K20+K21</f>
        <v>275281.9</v>
      </c>
      <c r="L111" s="54" t="n">
        <f aca="false">L19+L20+L21</f>
        <v>389956.62</v>
      </c>
      <c r="M111" s="54" t="n">
        <f aca="false">M19+M20+M21</f>
        <v>0</v>
      </c>
      <c r="N111" s="54" t="n">
        <f aca="false">N19+N20+N21</f>
        <v>0</v>
      </c>
      <c r="O111" s="54" t="n">
        <f aca="false">O19+O20+O21</f>
        <v>0</v>
      </c>
      <c r="P111" s="54" t="n">
        <f aca="false">P19+P20+P21</f>
        <v>388610.6</v>
      </c>
      <c r="Q111" s="54" t="n">
        <f aca="false">Q19+Q20+Q21</f>
        <v>341977.3</v>
      </c>
      <c r="R111" s="54" t="n">
        <f aca="false">R19+R20+R21</f>
        <v>46633.3</v>
      </c>
      <c r="S111" s="54" t="n">
        <f aca="false">S19+S20+S21</f>
        <v>0</v>
      </c>
      <c r="T111" s="54" t="n">
        <f aca="false">T19+T20+T21</f>
        <v>0</v>
      </c>
      <c r="U111" s="54" t="n">
        <f aca="false">U19+U20+U21</f>
        <v>0</v>
      </c>
      <c r="V111" s="54" t="n">
        <f aca="false">V19+V20+V21</f>
        <v>0</v>
      </c>
      <c r="W111" s="54" t="n">
        <f aca="false">W19+W20+W21</f>
        <v>0</v>
      </c>
      <c r="X111" s="54" t="n">
        <f aca="false">X19+X20+X21</f>
        <v>0</v>
      </c>
      <c r="Y111" s="54" t="n">
        <f aca="false">Y19+Y20+Y21</f>
        <v>0</v>
      </c>
      <c r="Z111" s="54" t="n">
        <f aca="false">Z19+Z20+Z21</f>
        <v>0</v>
      </c>
      <c r="AA111" s="54" t="n">
        <f aca="false">AA19+AA20+AA21</f>
        <v>0</v>
      </c>
      <c r="AB111" s="54" t="n">
        <f aca="false">AB19+AB20+AB21</f>
        <v>0</v>
      </c>
      <c r="AC111" s="54" t="n">
        <f aca="false">AC19+AC20+AC21</f>
        <v>0</v>
      </c>
      <c r="AD111" s="54" t="n">
        <f aca="false">AD19+AD20+AD21</f>
        <v>0</v>
      </c>
      <c r="AE111" s="54" t="n">
        <f aca="false">AE19+AE20+AE21</f>
        <v>0</v>
      </c>
      <c r="AF111" s="54" t="n">
        <f aca="false">AF19+AF20+AF21</f>
        <v>0</v>
      </c>
      <c r="AG111" s="54" t="n">
        <f aca="false">AG19+AG20+AG21</f>
        <v>0</v>
      </c>
      <c r="AH111" s="54" t="n">
        <f aca="false">AH19+AH20+AH21</f>
        <v>0</v>
      </c>
      <c r="AI111" s="54" t="n">
        <f aca="false">AI19+AI20+AI21</f>
        <v>0</v>
      </c>
      <c r="AJ111" s="54" t="n">
        <f aca="false">AJ19+AJ20+AJ21</f>
        <v>0</v>
      </c>
      <c r="AK111" s="54" t="n">
        <f aca="false">AK19+AK20+AK21</f>
        <v>0</v>
      </c>
      <c r="AL111" s="91"/>
      <c r="AM111" s="91"/>
    </row>
    <row r="112" customFormat="false" ht="27.75" hidden="false" customHeight="true" outlineLevel="0" collapsed="false">
      <c r="A112" s="18"/>
      <c r="B112" s="92" t="s">
        <v>130</v>
      </c>
      <c r="C112" s="92"/>
      <c r="D112" s="92"/>
      <c r="E112" s="92"/>
      <c r="F112" s="92"/>
      <c r="G112" s="92"/>
      <c r="H112" s="92"/>
      <c r="I112" s="54" t="n">
        <f aca="false">I22+I23+I24+I25+I26+I27</f>
        <v>699202.66406</v>
      </c>
      <c r="J112" s="54" t="n">
        <f aca="false">J22+J23+J24+J25+J26+J27</f>
        <v>699202.66406</v>
      </c>
      <c r="K112" s="54" t="n">
        <f aca="false">K22+K23+K24+K25+K26+K27</f>
        <v>57739.42</v>
      </c>
      <c r="L112" s="54" t="n">
        <f aca="false">L22+L23+L24+L25+L26+L27</f>
        <v>637682.927</v>
      </c>
      <c r="M112" s="54" t="n">
        <f aca="false">M22+M23+M24+M25+M26+M27</f>
        <v>3780.31706</v>
      </c>
      <c r="N112" s="54" t="n">
        <f aca="false">N22+N23+N24+N25+N26+N27</f>
        <v>0</v>
      </c>
      <c r="O112" s="54" t="n">
        <f aca="false">O22+O23+O24+O25+O26+O27</f>
        <v>0</v>
      </c>
      <c r="P112" s="54" t="n">
        <f aca="false">P22+P23+P24+P25+P26+P27</f>
        <v>0</v>
      </c>
      <c r="Q112" s="54" t="n">
        <f aca="false">Q22+Q23+Q24+Q25+Q26+Q27</f>
        <v>0</v>
      </c>
      <c r="R112" s="54" t="n">
        <f aca="false">R22+R23+R24+R25+R26+R27</f>
        <v>0</v>
      </c>
      <c r="S112" s="54" t="n">
        <f aca="false">S22+S23+S24+S25+S26+S27</f>
        <v>0</v>
      </c>
      <c r="T112" s="54" t="n">
        <f aca="false">T22+T23+T24+T25+T26+T27</f>
        <v>0</v>
      </c>
      <c r="U112" s="54" t="n">
        <f aca="false">U22+U23+U24+U25+U26+U27</f>
        <v>0</v>
      </c>
      <c r="V112" s="54" t="n">
        <f aca="false">V22+V23+V24+V25+V26+V27</f>
        <v>0</v>
      </c>
      <c r="W112" s="54" t="n">
        <f aca="false">W22+W23+W24+W25+W26+W27</f>
        <v>0</v>
      </c>
      <c r="X112" s="54" t="n">
        <f aca="false">X22+X23+X24+X25+X26+X27</f>
        <v>0</v>
      </c>
      <c r="Y112" s="54" t="n">
        <f aca="false">Y22+Y23+Y24+Y25+Y26+Y27</f>
        <v>0</v>
      </c>
      <c r="Z112" s="54" t="n">
        <f aca="false">Z22+Z23+Z24+Z25+Z26+Z27</f>
        <v>0</v>
      </c>
      <c r="AA112" s="54" t="n">
        <f aca="false">AA22+AA23+AA24+AA25+AA26+AA27</f>
        <v>0</v>
      </c>
      <c r="AB112" s="54" t="n">
        <f aca="false">AB22+AB23+AB24+AB25+AB26+AB27</f>
        <v>0</v>
      </c>
      <c r="AC112" s="54" t="n">
        <f aca="false">AC22+AC23+AC24+AC25+AC26+AC27</f>
        <v>0</v>
      </c>
      <c r="AD112" s="54" t="n">
        <f aca="false">AD22+AD23+AD24+AD25+AD26+AD27</f>
        <v>0</v>
      </c>
      <c r="AE112" s="54" t="n">
        <f aca="false">AE22+AE23+AE24+AE25+AE26+AE27</f>
        <v>0</v>
      </c>
      <c r="AF112" s="54" t="n">
        <f aca="false">AF22+AF23+AF24+AF25+AF26+AF27</f>
        <v>0</v>
      </c>
      <c r="AG112" s="54" t="n">
        <f aca="false">AG22+AG23+AG24+AG25+AG26+AG27</f>
        <v>0</v>
      </c>
      <c r="AH112" s="54" t="n">
        <f aca="false">AH22+AH23+AH24+AH25+AH26+AH27</f>
        <v>0</v>
      </c>
      <c r="AI112" s="54" t="n">
        <f aca="false">AI22+AI23+AI24+AI25+AI26+AI27</f>
        <v>0</v>
      </c>
      <c r="AJ112" s="54" t="n">
        <f aca="false">AJ22+AJ23+AJ24+AJ25+AJ26+AJ27</f>
        <v>0</v>
      </c>
      <c r="AK112" s="54" t="n">
        <f aca="false">AK22+AK23+AK24+AK25+AK26+AK27</f>
        <v>0</v>
      </c>
      <c r="AL112" s="91"/>
      <c r="AM112" s="91"/>
    </row>
    <row r="113" customFormat="false" ht="27.75" hidden="false" customHeight="true" outlineLevel="0" collapsed="false">
      <c r="A113" s="18"/>
      <c r="B113" s="92" t="s">
        <v>169</v>
      </c>
      <c r="C113" s="92"/>
      <c r="D113" s="92"/>
      <c r="E113" s="92"/>
      <c r="F113" s="92"/>
      <c r="G113" s="92"/>
      <c r="H113" s="92"/>
      <c r="I113" s="54" t="n">
        <f aca="false">I28</f>
        <v>659600</v>
      </c>
      <c r="J113" s="54" t="n">
        <f aca="false">J28</f>
        <v>1500</v>
      </c>
      <c r="K113" s="54" t="n">
        <f aca="false">K28</f>
        <v>0</v>
      </c>
      <c r="L113" s="54" t="n">
        <f aca="false">L28</f>
        <v>1500</v>
      </c>
      <c r="M113" s="54" t="n">
        <f aca="false">M28</f>
        <v>0</v>
      </c>
      <c r="N113" s="54" t="n">
        <f aca="false">N28</f>
        <v>0</v>
      </c>
      <c r="O113" s="54" t="n">
        <f aca="false">O28</f>
        <v>0</v>
      </c>
      <c r="P113" s="54" t="n">
        <f aca="false">P28</f>
        <v>335000</v>
      </c>
      <c r="Q113" s="54" t="n">
        <f aca="false">Q28</f>
        <v>300000</v>
      </c>
      <c r="R113" s="54" t="n">
        <f aca="false">R28</f>
        <v>35000</v>
      </c>
      <c r="S113" s="54" t="n">
        <f aca="false">S28</f>
        <v>0</v>
      </c>
      <c r="T113" s="54" t="n">
        <f aca="false">T28</f>
        <v>0</v>
      </c>
      <c r="U113" s="54" t="n">
        <f aca="false">U28</f>
        <v>0</v>
      </c>
      <c r="V113" s="54" t="n">
        <f aca="false">V28</f>
        <v>323100</v>
      </c>
      <c r="W113" s="54" t="n">
        <f aca="false">W28</f>
        <v>323100</v>
      </c>
      <c r="X113" s="54" t="n">
        <f aca="false">X28</f>
        <v>0</v>
      </c>
      <c r="Y113" s="54" t="n">
        <f aca="false">Y28</f>
        <v>0</v>
      </c>
      <c r="Z113" s="54" t="n">
        <f aca="false">Z28</f>
        <v>0</v>
      </c>
      <c r="AA113" s="54" t="n">
        <f aca="false">AA28</f>
        <v>0</v>
      </c>
      <c r="AB113" s="54" t="n">
        <f aca="false">AB28</f>
        <v>0</v>
      </c>
      <c r="AC113" s="54" t="n">
        <f aca="false">AC28</f>
        <v>0</v>
      </c>
      <c r="AD113" s="54" t="n">
        <f aca="false">AD28</f>
        <v>0</v>
      </c>
      <c r="AE113" s="54" t="n">
        <f aca="false">AE28</f>
        <v>0</v>
      </c>
      <c r="AF113" s="54" t="n">
        <f aca="false">AF28</f>
        <v>0</v>
      </c>
      <c r="AG113" s="54" t="n">
        <f aca="false">AG28</f>
        <v>0</v>
      </c>
      <c r="AH113" s="54" t="n">
        <f aca="false">AH28</f>
        <v>0</v>
      </c>
      <c r="AI113" s="54" t="n">
        <f aca="false">AI28</f>
        <v>0</v>
      </c>
      <c r="AJ113" s="54" t="n">
        <f aca="false">AJ28</f>
        <v>0</v>
      </c>
      <c r="AK113" s="54" t="n">
        <f aca="false">AK28</f>
        <v>0</v>
      </c>
      <c r="AL113" s="91"/>
      <c r="AM113" s="91"/>
    </row>
    <row r="114" customFormat="false" ht="27.75" hidden="false" customHeight="true" outlineLevel="0" collapsed="false">
      <c r="A114" s="18"/>
      <c r="B114" s="93" t="s">
        <v>181</v>
      </c>
      <c r="C114" s="93"/>
      <c r="D114" s="93"/>
      <c r="E114" s="93"/>
      <c r="F114" s="93"/>
      <c r="G114" s="93"/>
      <c r="H114" s="93"/>
      <c r="I114" s="54" t="n">
        <f aca="false">I29+I30+I31</f>
        <v>915957.44681</v>
      </c>
      <c r="J114" s="54" t="n">
        <f aca="false">J29+J30+J31</f>
        <v>0</v>
      </c>
      <c r="K114" s="54" t="n">
        <f aca="false">K29+K30+K31</f>
        <v>0</v>
      </c>
      <c r="L114" s="54" t="n">
        <f aca="false">L29+L30+L31</f>
        <v>0</v>
      </c>
      <c r="M114" s="54" t="n">
        <f aca="false">M29+M30+M31</f>
        <v>0</v>
      </c>
      <c r="N114" s="54" t="n">
        <f aca="false">N29+N30+N31</f>
        <v>0</v>
      </c>
      <c r="O114" s="54" t="n">
        <f aca="false">O29+O30+O31</f>
        <v>0</v>
      </c>
      <c r="P114" s="54" t="n">
        <f aca="false">P29+P30+P31</f>
        <v>300000</v>
      </c>
      <c r="Q114" s="54" t="n">
        <f aca="false">Q29+Q30+Q31</f>
        <v>0</v>
      </c>
      <c r="R114" s="54" t="n">
        <f aca="false">R29+R30+R31</f>
        <v>300000</v>
      </c>
      <c r="S114" s="54" t="n">
        <f aca="false">S29+S30+S31</f>
        <v>0</v>
      </c>
      <c r="T114" s="54" t="n">
        <f aca="false">T29+T30+T31</f>
        <v>0</v>
      </c>
      <c r="U114" s="54" t="n">
        <f aca="false">U29+U30+U31</f>
        <v>0</v>
      </c>
      <c r="V114" s="54" t="n">
        <f aca="false">V29+V30+V31</f>
        <v>615957.44681</v>
      </c>
      <c r="W114" s="54" t="n">
        <f aca="false">W29+W30+W31</f>
        <v>250000</v>
      </c>
      <c r="X114" s="54" t="n">
        <f aca="false">X29+X30+X31</f>
        <v>365957.44681</v>
      </c>
      <c r="Y114" s="54" t="n">
        <f aca="false">Y29+Y30+Y31</f>
        <v>0</v>
      </c>
      <c r="Z114" s="54" t="n">
        <f aca="false">Z29+Z30+Z31</f>
        <v>0</v>
      </c>
      <c r="AA114" s="54" t="n">
        <f aca="false">AA29+AA30+AA31</f>
        <v>0</v>
      </c>
      <c r="AB114" s="54" t="n">
        <f aca="false">AB29+AB30+AB31</f>
        <v>0</v>
      </c>
      <c r="AC114" s="54" t="n">
        <f aca="false">AC29+AC30+AC31</f>
        <v>0</v>
      </c>
      <c r="AD114" s="54" t="n">
        <f aca="false">AD29+AD30+AD31</f>
        <v>0</v>
      </c>
      <c r="AE114" s="54" t="n">
        <f aca="false">AE29+AE30+AE31</f>
        <v>0</v>
      </c>
      <c r="AF114" s="54" t="n">
        <f aca="false">AF29+AF30+AF31</f>
        <v>0</v>
      </c>
      <c r="AG114" s="54" t="n">
        <f aca="false">AG29+AG30+AG31</f>
        <v>0</v>
      </c>
      <c r="AH114" s="54" t="n">
        <f aca="false">AH29+AH30+AH31</f>
        <v>0</v>
      </c>
      <c r="AI114" s="54" t="n">
        <f aca="false">AI29+AI30+AI31</f>
        <v>0</v>
      </c>
      <c r="AJ114" s="54" t="n">
        <f aca="false">AJ29+AJ30+AJ31</f>
        <v>0</v>
      </c>
      <c r="AK114" s="54" t="n">
        <f aca="false">AK29+AK30+AK31</f>
        <v>0</v>
      </c>
      <c r="AL114" s="91"/>
      <c r="AM114" s="91"/>
    </row>
    <row r="115" customFormat="false" ht="27.75" hidden="false" customHeight="true" outlineLevel="0" collapsed="false">
      <c r="A115" s="18"/>
      <c r="B115" s="93" t="s">
        <v>211</v>
      </c>
      <c r="C115" s="93"/>
      <c r="D115" s="93"/>
      <c r="E115" s="93"/>
      <c r="F115" s="93"/>
      <c r="G115" s="93"/>
      <c r="H115" s="93"/>
      <c r="I115" s="54" t="n">
        <f aca="false">I32+I33</f>
        <v>976798.64245</v>
      </c>
      <c r="J115" s="54" t="n">
        <f aca="false">J32+J33</f>
        <v>976798.64245</v>
      </c>
      <c r="K115" s="54" t="n">
        <f aca="false">K32+K33</f>
        <v>966865.9</v>
      </c>
      <c r="L115" s="54" t="n">
        <f aca="false">L32+L33</f>
        <v>9766.4</v>
      </c>
      <c r="M115" s="54" t="n">
        <f aca="false">M32+M33</f>
        <v>166.34245</v>
      </c>
      <c r="N115" s="54" t="n">
        <f aca="false">N32+N33</f>
        <v>0</v>
      </c>
      <c r="O115" s="54" t="n">
        <f aca="false">O32+O33</f>
        <v>0</v>
      </c>
      <c r="P115" s="54" t="n">
        <f aca="false">P32+P33</f>
        <v>0</v>
      </c>
      <c r="Q115" s="54" t="n">
        <f aca="false">Q32+Q33</f>
        <v>0</v>
      </c>
      <c r="R115" s="54" t="n">
        <f aca="false">R32+R33</f>
        <v>0</v>
      </c>
      <c r="S115" s="54" t="n">
        <f aca="false">S32+S33</f>
        <v>0</v>
      </c>
      <c r="T115" s="54" t="n">
        <f aca="false">T32+T33</f>
        <v>0</v>
      </c>
      <c r="U115" s="54" t="n">
        <f aca="false">U32+U33</f>
        <v>0</v>
      </c>
      <c r="V115" s="54" t="n">
        <f aca="false">V32+V33</f>
        <v>0</v>
      </c>
      <c r="W115" s="54" t="n">
        <f aca="false">W32+W33</f>
        <v>0</v>
      </c>
      <c r="X115" s="54" t="n">
        <f aca="false">X32+X33</f>
        <v>0</v>
      </c>
      <c r="Y115" s="54" t="n">
        <f aca="false">Y32+Y33</f>
        <v>0</v>
      </c>
      <c r="Z115" s="54" t="n">
        <f aca="false">Z32+Z33</f>
        <v>0</v>
      </c>
      <c r="AA115" s="54" t="n">
        <f aca="false">AA32+AA33</f>
        <v>0</v>
      </c>
      <c r="AB115" s="54" t="n">
        <f aca="false">AB32+AB33</f>
        <v>0</v>
      </c>
      <c r="AC115" s="54" t="n">
        <f aca="false">AC32+AC33</f>
        <v>0</v>
      </c>
      <c r="AD115" s="54" t="n">
        <f aca="false">AD32+AD33</f>
        <v>0</v>
      </c>
      <c r="AE115" s="54" t="n">
        <f aca="false">AE32+AE33</f>
        <v>0</v>
      </c>
      <c r="AF115" s="54" t="n">
        <f aca="false">AF32+AF33</f>
        <v>0</v>
      </c>
      <c r="AG115" s="54" t="n">
        <f aca="false">AG32+AG33</f>
        <v>0</v>
      </c>
      <c r="AH115" s="54" t="n">
        <f aca="false">AH32+AH33</f>
        <v>0</v>
      </c>
      <c r="AI115" s="54" t="n">
        <f aca="false">AI32+AI33</f>
        <v>0</v>
      </c>
      <c r="AJ115" s="54" t="n">
        <f aca="false">AJ32+AJ33</f>
        <v>0</v>
      </c>
      <c r="AK115" s="54" t="n">
        <f aca="false">AK32+AK33</f>
        <v>0</v>
      </c>
      <c r="AL115" s="91"/>
      <c r="AM115" s="91"/>
    </row>
    <row r="116" customFormat="false" ht="27.75" hidden="false" customHeight="true" outlineLevel="0" collapsed="false">
      <c r="A116" s="18"/>
      <c r="B116" s="92" t="s">
        <v>231</v>
      </c>
      <c r="C116" s="92"/>
      <c r="D116" s="92"/>
      <c r="E116" s="92"/>
      <c r="F116" s="92"/>
      <c r="G116" s="92"/>
      <c r="H116" s="92"/>
      <c r="I116" s="54" t="n">
        <f aca="false">I34+I35+I36+I37+I38+I39+I40+I41+I42+I43+I44</f>
        <v>3797476.09492</v>
      </c>
      <c r="J116" s="54" t="n">
        <f aca="false">J34+J35+J36+J37+J38+J39+J40+J41+J42+J43+J44</f>
        <v>859264.56316</v>
      </c>
      <c r="K116" s="54" t="n">
        <f aca="false">K34+K35+K36+K37+K38+K39+K40+K41+K42+K43+K44</f>
        <v>100000</v>
      </c>
      <c r="L116" s="54" t="n">
        <f aca="false">L34+L35+L36+L37+L38+L39+L40+L41+L42+L43+L44</f>
        <v>740534.16857</v>
      </c>
      <c r="M116" s="54" t="n">
        <f aca="false">M34+M35+M36+M37+M38+M39+M40+M41+M42+M43+M44</f>
        <v>585.1381</v>
      </c>
      <c r="N116" s="54" t="n">
        <f aca="false">N34+N35+N36+N37+N38+N39+N40+N41+N42+N43+N44</f>
        <v>18145.25649</v>
      </c>
      <c r="O116" s="54" t="n">
        <f aca="false">O34+O35+O36+O37+O38+O39+O40+O41+O42+O43+O44</f>
        <v>0</v>
      </c>
      <c r="P116" s="54" t="n">
        <f aca="false">P34+P35+P36+P37+P38+P39+P40+P41+P42+P43+P44</f>
        <v>400299.53176</v>
      </c>
      <c r="Q116" s="54" t="n">
        <f aca="false">Q34+Q35+Q36+Q37+Q38+Q39+Q40+Q41+Q42+Q43+Q44</f>
        <v>0</v>
      </c>
      <c r="R116" s="54" t="n">
        <f aca="false">R34+R35+R36+R37+R38+R39+R40+R41+R42+R43+R44</f>
        <v>398374.45931</v>
      </c>
      <c r="S116" s="54" t="n">
        <f aca="false">S34+S35+S36+S37+S38+S39+S40+S41+S42+S43+S44</f>
        <v>1925.07245</v>
      </c>
      <c r="T116" s="54" t="n">
        <f aca="false">T34+T35+T36+T37+T38+T39+T40+T41+T42+T43+T44</f>
        <v>0</v>
      </c>
      <c r="U116" s="54" t="n">
        <f aca="false">U34+U35+U36+U37+U38+U39+U40+U41+U42+U43+U44</f>
        <v>0</v>
      </c>
      <c r="V116" s="54" t="n">
        <f aca="false">V34+V35+V36+V37+V38+V39+V40+V41+V42+V43+V44</f>
        <v>197750</v>
      </c>
      <c r="W116" s="54" t="n">
        <f aca="false">W34+W35+W36+W37+W38+W39+W40+W41+W42+W43+W44</f>
        <v>0</v>
      </c>
      <c r="X116" s="54" t="n">
        <f aca="false">X34+X35+X36+X37+X38+X39+X40+X41+X42+X43+X44</f>
        <v>197750</v>
      </c>
      <c r="Y116" s="54" t="n">
        <f aca="false">Y34+Y35+Y36+Y37+Y38+Y39+Y40+Y41+Y42+Y43+Y44</f>
        <v>0</v>
      </c>
      <c r="Z116" s="54" t="n">
        <f aca="false">Z34+Z35+Z36+Z37+Z38+Z39+Z40+Z41+Z42+Z43+Z44</f>
        <v>0</v>
      </c>
      <c r="AA116" s="54" t="n">
        <f aca="false">AA34+AA35+AA36+AA37+AA38+AA39+AA40+AA41+AA42+AA43+AA44</f>
        <v>0</v>
      </c>
      <c r="AB116" s="54" t="n">
        <f aca="false">AB34+AB35+AB36+AB37+AB38+AB39+AB40+AB41+AB42+AB43+AB44</f>
        <v>2221412</v>
      </c>
      <c r="AC116" s="54" t="n">
        <f aca="false">AC34+AC35+AC36+AC37+AC38+AC39+AC40+AC41+AC42+AC43+AC44</f>
        <v>0</v>
      </c>
      <c r="AD116" s="54" t="n">
        <f aca="false">AD34+AD35+AD36+AD37+AD38+AD39+AD40+AD41+AD42+AD43+AD44</f>
        <v>799197.48335</v>
      </c>
      <c r="AE116" s="54" t="n">
        <f aca="false">AE34+AE35+AE36+AE37+AE38+AE39+AE40+AE41+AE42+AE43+AE44</f>
        <v>2023.662</v>
      </c>
      <c r="AF116" s="54" t="n">
        <f aca="false">AF34+AF35+AF36+AF37+AF38+AF39+AF40+AF41+AF42+AF43+AF44</f>
        <v>1420190.85465</v>
      </c>
      <c r="AG116" s="54" t="n">
        <f aca="false">AG34+AG35+AG36+AG37+AG38+AG39+AG40+AG41+AG42+AG43+AG44</f>
        <v>118750</v>
      </c>
      <c r="AH116" s="54" t="n">
        <f aca="false">AH34+AH35+AH36+AH37+AH38+AH39+AH40+AH41+AH42+AH43+AH44</f>
        <v>0</v>
      </c>
      <c r="AI116" s="54" t="n">
        <f aca="false">AI34+AI35+AI36+AI37+AI38+AI39+AI40+AI41+AI42+AI43+AI44</f>
        <v>118750</v>
      </c>
      <c r="AJ116" s="54" t="n">
        <f aca="false">AJ34+AJ35+AJ36+AJ37+AJ38+AJ39+AJ40+AJ41+AJ42+AJ43+AJ44</f>
        <v>0</v>
      </c>
      <c r="AK116" s="54" t="n">
        <f aca="false">AK34+AK35+AK36+AK37+AK38+AK39+AK40+AK41+AK42+AK43+AK44</f>
        <v>0</v>
      </c>
      <c r="AL116" s="91"/>
      <c r="AM116" s="91"/>
    </row>
    <row r="117" customFormat="false" ht="27.75" hidden="false" customHeight="true" outlineLevel="0" collapsed="false">
      <c r="A117" s="18"/>
      <c r="B117" s="92" t="s">
        <v>278</v>
      </c>
      <c r="C117" s="92"/>
      <c r="D117" s="92"/>
      <c r="E117" s="92"/>
      <c r="F117" s="92"/>
      <c r="G117" s="92"/>
      <c r="H117" s="92"/>
      <c r="I117" s="54" t="n">
        <f aca="false">I45+I46+I47+I48+I49+I50+I51+I52+I53+I54+I55+I56+I57+I58+I59+I60+I61+I62+I63+I64+I65+I66+I67+I68+I69+I70+I71+I72+I73</f>
        <v>15704308.61062</v>
      </c>
      <c r="J117" s="54" t="n">
        <f aca="false">J45+J46+J47+J48+J49+J50+J51+J52+J53+J54+J55+J56+J57+J58+J59+J60+J61+J62+J63+J64+J65+J66+J67+J68+J69+J70+J71+J72+J73</f>
        <v>11196516.18548</v>
      </c>
      <c r="K117" s="54" t="n">
        <f aca="false">K45+K46+K47+K48+K49+K50+K51+K52+K53+K54+K55+K56+K57+K58+K59+K60+K61+K62+K63+K64+K65+K66+K67+K68+K69+K70+K71+K72+K73</f>
        <v>8947183.76004</v>
      </c>
      <c r="L117" s="54" t="n">
        <f aca="false">L45+L46+L47+L48+L49+L50+L51+L52+L53+L54+L55+L56+L57+L58+L59+L60+L61+L62+L63+L64+L65+L66+L67+L68+L69+L70+L71+L72+L73</f>
        <v>2241880.53031</v>
      </c>
      <c r="M117" s="54" t="n">
        <f aca="false">M45+M46+M47+M48+M49+M50+M51+M52+M53+M54+M55+M56+M57+M58+M59+M60+M61+M62+M63+M64+M65+M66+M67+M68+M69+M70+M71+M72+M73</f>
        <v>7451.89513</v>
      </c>
      <c r="N117" s="54" t="n">
        <f aca="false">N45+N46+N47+N48+N49+N50+N51+N52+N53+N54+N55+N56+N57+N58+N59+N60+N61+N62+N63+N64+N65+N66+N67+N68+N69+N70+N71+N72+N73</f>
        <v>0</v>
      </c>
      <c r="O117" s="54" t="n">
        <f aca="false">O45+O46+O47+O48+O49+O50+O51+O52+O53+O54+O55+O56+O57+O58+O59+O60+O61+O62+O63+O64+O65+O66+O67+O68+O69+O70+O71+O72+O73</f>
        <v>0</v>
      </c>
      <c r="P117" s="54" t="n">
        <f aca="false">P45+P46+P47+P48+P49+P50+P51+P52+P53+P54+P55+P56+P57+P58+P59+P60+P61+P62+P63+P64+P65+P66+P67+P68+P69+P70+P71+P72+P73</f>
        <v>3491948.23815</v>
      </c>
      <c r="Q117" s="54" t="n">
        <f aca="false">Q45+Q46+Q47+Q48+Q49+Q50+Q51+Q52+Q53+Q54+Q55+Q56+Q57+Q58+Q59+Q60+Q61+Q62+Q63+Q64+Q65+Q66+Q67+Q68+Q69+Q70+Q71+Q72+Q73</f>
        <v>503055.6</v>
      </c>
      <c r="R117" s="54" t="n">
        <f aca="false">R45+R46+R47+R48+R49+R50+R51+R52+R53+R54+R55+R56+R57+R58+R59+R60+R61+R62+R63+R64+R65+R66+R67+R68+R69+R70+R71+R72+R73</f>
        <v>2986753.85089</v>
      </c>
      <c r="S117" s="54" t="n">
        <f aca="false">S45+S46+S47+S48+S49+S50+S51+S52+S53+S54+S55+S56+S57+S58+S59+S60+S61+S62+S63+S64+S65+S66+S67+S68+S69+S70+S71+S72+S73</f>
        <v>2138.78726</v>
      </c>
      <c r="T117" s="54" t="n">
        <f aca="false">T45+T46+T47+T48+T49+T50+T51+T52+T53+T54+T55+T56+T57+T58+T59+T60+T61+T62+T63+T64+T65+T66+T67+T68+T69+T70+T71+T72+T73</f>
        <v>0</v>
      </c>
      <c r="U117" s="54" t="n">
        <f aca="false">U45+U46+U47+U48+U49+U50+U51+U52+U53+U54+U55+U56+U57+U58+U59+U60+U61+U62+U63+U64+U65+U66+U67+U68+U69+U70+U71+U72+U73</f>
        <v>0</v>
      </c>
      <c r="V117" s="54" t="n">
        <f aca="false">V45+V46+V47+V48+V49+V50+V51+V52+V53+V54+V55+V56+V57+V58+V59+V60+V61+V62+V63+V64+V65+V66+V67+V68+V69+V70+V71+V72+V73</f>
        <v>1015844.18699</v>
      </c>
      <c r="W117" s="54" t="n">
        <f aca="false">W45+W46+W47+W48+W49+W50+W51+W52+W53+W54+W55+W56+W57+W58+W59+W60+W61+W62+W63+W64+W65+W66+W67+W68+W69+W70+W71+W72+W73</f>
        <v>234948.6</v>
      </c>
      <c r="X117" s="54" t="n">
        <f aca="false">X45+X46+X47+X48+X49+X50+X51+X52+X53+X54+X55+X56+X57+X58+X59+X60+X61+X62+X63+X64+X65+X66+X67+X68+X69+X70+X71+X72+X73</f>
        <v>780895.58699</v>
      </c>
      <c r="Y117" s="54" t="n">
        <f aca="false">Y45+Y46+Y47+Y48+Y49+Y50+Y51+Y52+Y53+Y54+Y55+Y56+Y57+Y58+Y59+Y60+Y61+Y62+Y63+Y64+Y65+Y66+Y67+Y68+Y69+Y70+Y71+Y72+Y73</f>
        <v>0</v>
      </c>
      <c r="Z117" s="54" t="n">
        <f aca="false">Z45+Z46+Z47+Z48+Z49+Z50+Z51+Z52+Z53+Z54+Z55+Z56+Z57+Z58+Z59+Z60+Z61+Z62+Z63+Z64+Z65+Z66+Z67+Z68+Z69+Z70+Z71+Z72+Z73</f>
        <v>0</v>
      </c>
      <c r="AA117" s="54" t="n">
        <f aca="false">AA45+AA46+AA47+AA48+AA49+AA50+AA51+AA52+AA53+AA54+AA55+AA56+AA57+AA58+AA59+AA60+AA61+AA62+AA63+AA64+AA65+AA66+AA67+AA68+AA69+AA70+AA71+AA72+AA73</f>
        <v>0</v>
      </c>
      <c r="AB117" s="54" t="n">
        <f aca="false">AB45+AB46+AB47+AB48+AB49+AB50+AB51+AB52+AB53+AB54+AB55+AB56+AB57+AB58+AB59+AB60+AB61+AB62+AB63+AB64+AB65+AB66+AB67+AB68+AB69+AB70+AB71+AB72+AB73</f>
        <v>0</v>
      </c>
      <c r="AC117" s="54" t="n">
        <f aca="false">AC45+AC46+AC47+AC48+AC49+AC50+AC51+AC52+AC53+AC54+AC55+AC56+AC57+AC58+AC59+AC60+AC61+AC62+AC63+AC64+AC65+AC66+AC67+AC68+AC69+AC70+AC71+AC72+AC73</f>
        <v>0</v>
      </c>
      <c r="AD117" s="54" t="n">
        <f aca="false">AD45+AD46+AD47+AD48+AD49+AD50+AD51+AD52+AD53+AD54+AD55+AD56+AD57+AD58+AD59+AD60+AD61+AD62+AD63+AD64+AD65+AD66+AD67+AD68+AD69+AD70+AD71+AD72+AD73</f>
        <v>0</v>
      </c>
      <c r="AE117" s="54" t="n">
        <f aca="false">AE45+AE46+AE47+AE48+AE49+AE50+AE51+AE52+AE53+AE54+AE55+AE56+AE57+AE58+AE59+AE60+AE61+AE62+AE63+AE64+AE65+AE66+AE67+AE68+AE69+AE70+AE71+AE72+AE73</f>
        <v>0</v>
      </c>
      <c r="AF117" s="54" t="n">
        <f aca="false">AF45+AF46+AF47+AF48+AF49+AF50+AF51+AF52+AF53+AF54+AF55+AF56+AF57+AF58+AF59+AF60+AF61+AF62+AF63+AF64+AF65+AF66+AF67+AF68+AF69+AF70+AF71+AF72+AF73</f>
        <v>0</v>
      </c>
      <c r="AG117" s="54" t="n">
        <f aca="false">AG45+AG46+AG47+AG48+AG49+AG50+AG51+AG52+AG53+AG54+AG55+AG56+AG57+AG58+AG59+AG60+AG61+AG62+AG63+AG64+AG65+AG66+AG67+AG68+AG69+AG70+AG71+AG72+AG73</f>
        <v>0</v>
      </c>
      <c r="AH117" s="54" t="n">
        <f aca="false">AH45+AH46+AH47+AH48+AH49+AH50+AH51+AH52+AH53+AH54+AH55+AH56+AH57+AH58+AH59+AH60+AH61+AH62+AH63+AH64+AH65+AH66+AH67+AH68+AH69+AH70+AH71+AH72+AH73</f>
        <v>0</v>
      </c>
      <c r="AI117" s="54" t="n">
        <f aca="false">AI45+AI46+AI47+AI48+AI49+AI50+AI51+AI52+AI53+AI54+AI55+AI56+AI57+AI58+AI59+AI60+AI61+AI62+AI63+AI64+AI65+AI66+AI67+AI68+AI69+AI70+AI71+AI72+AI73</f>
        <v>0</v>
      </c>
      <c r="AJ117" s="54" t="n">
        <f aca="false">AJ45+AJ46+AJ47+AJ48+AJ49+AJ50+AJ51+AJ52+AJ53+AJ54+AJ55+AJ56+AJ57+AJ58+AJ59+AJ60+AJ61+AJ62+AJ63+AJ64+AJ65+AJ66+AJ67+AJ68+AJ69+AJ70+AJ71+AJ72+AJ73</f>
        <v>0</v>
      </c>
      <c r="AK117" s="54" t="n">
        <f aca="false">AK45+AK46+AK47+AK48+AK49+AK50+AK51+AK52+AK53+AK54+AK55+AK56+AK57+AK58+AK59+AK60+AK61+AK62+AK63+AK64+AK65+AK66+AK67+AK68+AK69+AK70+AK71+AK72+AK73</f>
        <v>0</v>
      </c>
      <c r="AL117" s="91"/>
      <c r="AM117" s="91"/>
    </row>
    <row r="118" customFormat="false" ht="27.75" hidden="false" customHeight="true" outlineLevel="0" collapsed="false">
      <c r="A118" s="18"/>
      <c r="B118" s="92" t="s">
        <v>425</v>
      </c>
      <c r="C118" s="92"/>
      <c r="D118" s="92"/>
      <c r="E118" s="92"/>
      <c r="F118" s="92"/>
      <c r="G118" s="92"/>
      <c r="H118" s="92"/>
      <c r="I118" s="54" t="n">
        <f aca="false">I74+I75+I76+I77+I78+I79+I80+I81+I82+I83+I84+I85+I86+I87+I88+I89+I107+I108</f>
        <v>10461448.98391</v>
      </c>
      <c r="J118" s="54" t="n">
        <f aca="false">J74+J75+J76+J77+J78+J79+J80+J81+J82+J83+J84+J85+J86+J87+J88+J89+J107+J108</f>
        <v>2006816.55011</v>
      </c>
      <c r="K118" s="54" t="n">
        <f aca="false">K74+K75+K76+K77+K78+K79+K80+K81+K82+K83+K84+K85+K86+K87+K88+K89+K107+K108</f>
        <v>1660227.10844</v>
      </c>
      <c r="L118" s="54" t="n">
        <f aca="false">L74+L75+L76+L77+L78+L79+L80+L81+L82+L83+L84+L85+L86+L87+L88+L89+L107+L108</f>
        <v>339057.16494</v>
      </c>
      <c r="M118" s="54" t="n">
        <f aca="false">M74+M75+M76+M77+M78+M79+M80+M81+M82+M83+M84+M85+M86+M87+M88+M89+M107+M108</f>
        <v>7532.27673</v>
      </c>
      <c r="N118" s="54" t="n">
        <f aca="false">N74+N75+N76+N77+N78+N79+N80+N81+N82+N83+N84+N85+N86+N87+N88+N89+N107+N108</f>
        <v>0</v>
      </c>
      <c r="O118" s="54" t="n">
        <f aca="false">O74+O75+O76+O77+O78+O79+O80+O81+O82+O83+O84+O85+O86+O87+O88+O89+O107+O108</f>
        <v>0</v>
      </c>
      <c r="P118" s="54" t="n">
        <f aca="false">P74+P75+P76+P77+P78+P79+P80+P81+P82+P83+P84+P85+P86+P87+P88+P89+P107+P108</f>
        <v>3524636.2005</v>
      </c>
      <c r="Q118" s="54" t="n">
        <f aca="false">Q74+Q75+Q76+Q77+Q78+Q79+Q80+Q81+Q82+Q83+Q84+Q85+Q86+Q87+Q88+Q89+Q107+Q108</f>
        <v>875000</v>
      </c>
      <c r="R118" s="54" t="n">
        <f aca="false">R74+R75+R76+R77+R78+R79+R80+R81+R82+R83+R84+R85+R86+R87+R88+R89+R107+R108</f>
        <v>2081565.39844</v>
      </c>
      <c r="S118" s="54" t="n">
        <f aca="false">S74+S75+S76+S77+S78+S79+S80+S81+S82+S83+S84+S85+S86+S87+S88+S89+S107+S108</f>
        <v>568070.80206</v>
      </c>
      <c r="T118" s="54" t="n">
        <f aca="false">T74+T75+T76+T77+T78+T79+T80+T81+T82+T83+T84+T85+T86+T87+T88+T89+T107+T108</f>
        <v>0</v>
      </c>
      <c r="U118" s="54" t="n">
        <f aca="false">U74+U75+U76+U77+U78+U79+U80+U81+U82+U83+U84+U85+U86+U87+U88+U89+U107+U108</f>
        <v>0</v>
      </c>
      <c r="V118" s="54" t="n">
        <f aca="false">V74+V75+V76+V77+V78+V79+V80+V81+V82+V83+V84+V85+V86+V87+V88+V89+V107+V108</f>
        <v>3134746.2333</v>
      </c>
      <c r="W118" s="54" t="n">
        <f aca="false">W74+W75+W76+W77+W78+W79+W80+W81+W82+W83+W84+W85+W86+W87+W88+W89+W107+W108</f>
        <v>1283090</v>
      </c>
      <c r="X118" s="54" t="n">
        <f aca="false">X74+X75+X76+X77+X78+X79+X80+X81+X82+X83+X84+X85+X86+X87+X88+X89+X107+X108</f>
        <v>1842206.2333</v>
      </c>
      <c r="Y118" s="54" t="n">
        <f aca="false">Y74+Y75+Y76+Y77+Y78+Y79+Y80+Y81+Y82+Y83+Y84+Y85+Y86+Y87+Y88+Y89+Y107+Y108</f>
        <v>9450</v>
      </c>
      <c r="Z118" s="54" t="n">
        <f aca="false">Z74+Z75+Z76+Z77+Z78+Z79+Z80+Z81+Z82+Z83+Z84+Z85+Z86+Z87+Z88+Z89+Z107+Z108</f>
        <v>0</v>
      </c>
      <c r="AA118" s="54" t="n">
        <f aca="false">AA74+AA75+AA76+AA77+AA78+AA79+AA80+AA81+AA82+AA83+AA84+AA85+AA86+AA87+AA88+AA89+AA107+AA108</f>
        <v>0</v>
      </c>
      <c r="AB118" s="54" t="n">
        <f aca="false">AB74+AB75+AB76+AB77+AB78+AB79+AB80+AB81+AB82+AB83+AB84+AB85+AB86+AB87+AB88+AB89+AB107+AB108</f>
        <v>1795250</v>
      </c>
      <c r="AC118" s="54" t="n">
        <f aca="false">AC74+AC75+AC76+AC77+AC78+AC79+AC80+AC81+AC82+AC83+AC84+AC85+AC86+AC87+AC88+AC89+AC107+AC108</f>
        <v>150000</v>
      </c>
      <c r="AD118" s="54" t="n">
        <f aca="false">AD74+AD75+AD76+AD77+AD78+AD79+AD80+AD81+AD82+AD83+AD84+AD85+AD86+AD87+AD88+AD89+AD107+AD108</f>
        <v>1120250</v>
      </c>
      <c r="AE118" s="54" t="n">
        <f aca="false">AE74+AE75+AE76+AE77+AE78+AE79+AE80+AE81+AE82+AE83+AE84+AE85+AE86+AE87+AE88+AE89+AE107+AE108</f>
        <v>525000</v>
      </c>
      <c r="AF118" s="54" t="n">
        <f aca="false">AF74+AF75+AF76+AF77+AF78+AF79+AF80+AF81+AF82+AF83+AF84+AF85+AF86+AF87+AF88+AF89+AF107+AF108</f>
        <v>0</v>
      </c>
      <c r="AG118" s="54" t="n">
        <f aca="false">AG74+AG75+AG76+AG77+AG78+AG79+AG80+AG81+AG82+AG83+AG84+AG85+AG86+AG87+AG88+AG89+AG107+AG108</f>
        <v>0</v>
      </c>
      <c r="AH118" s="54" t="n">
        <f aca="false">AH74+AH75+AH76+AH77+AH78+AH79+AH80+AH81+AH82+AH83+AH84+AH85+AH86+AH87+AH88+AH89+AH107+AH108</f>
        <v>0</v>
      </c>
      <c r="AI118" s="54" t="n">
        <f aca="false">AI74+AI75+AI76+AI77+AI78+AI79+AI80+AI81+AI82+AI83+AI84+AI85+AI86+AI87+AI88+AI89+AI107+AI108</f>
        <v>0</v>
      </c>
      <c r="AJ118" s="54" t="n">
        <f aca="false">AJ74+AJ75+AJ76+AJ77+AJ78+AJ79+AJ80+AJ81+AJ82+AJ83+AJ84+AJ85+AJ86+AJ87+AJ88+AJ89+AJ107+AJ108</f>
        <v>0</v>
      </c>
      <c r="AK118" s="54" t="n">
        <f aca="false">AK74+AK75+AK76+AK77+AK78+AK79+AK80+AK81+AK82+AK83+AK84+AK85+AK86+AK87+AK88+AK89+AK107+AK108</f>
        <v>0</v>
      </c>
      <c r="AL118" s="91"/>
      <c r="AM118" s="91"/>
    </row>
    <row r="119" customFormat="false" ht="27.75" hidden="false" customHeight="true" outlineLevel="0" collapsed="false">
      <c r="A119" s="18"/>
      <c r="B119" s="94" t="s">
        <v>520</v>
      </c>
      <c r="C119" s="94"/>
      <c r="D119" s="94"/>
      <c r="E119" s="94"/>
      <c r="F119" s="94"/>
      <c r="G119" s="94"/>
      <c r="H119" s="94"/>
      <c r="I119" s="54" t="n">
        <f aca="false">I90+I91+I92+I93</f>
        <v>246290.28648</v>
      </c>
      <c r="J119" s="54" t="n">
        <f aca="false">J90+J91+J92+J93</f>
        <v>3359.99813</v>
      </c>
      <c r="K119" s="54" t="n">
        <f aca="false">K90+K91+K92+K93</f>
        <v>0</v>
      </c>
      <c r="L119" s="54" t="n">
        <f aca="false">L90+L91+L92+L93</f>
        <v>3359.99813</v>
      </c>
      <c r="M119" s="54" t="n">
        <f aca="false">M90+M91+M92+M93</f>
        <v>0</v>
      </c>
      <c r="N119" s="54" t="n">
        <f aca="false">N90+N91+N92+N93</f>
        <v>0</v>
      </c>
      <c r="O119" s="54" t="n">
        <f aca="false">O90+O91+O92+O93</f>
        <v>0</v>
      </c>
      <c r="P119" s="54" t="n">
        <f aca="false">P90+P91+P92+P93</f>
        <v>52899.08695</v>
      </c>
      <c r="Q119" s="54" t="n">
        <f aca="false">Q90+Q91+Q92+Q93</f>
        <v>0</v>
      </c>
      <c r="R119" s="54" t="n">
        <f aca="false">R90+R91+R92+R93</f>
        <v>52899.08695</v>
      </c>
      <c r="S119" s="54" t="n">
        <f aca="false">S90+S91+S92+S93</f>
        <v>0</v>
      </c>
      <c r="T119" s="54" t="n">
        <f aca="false">T90+T91+T92+T93</f>
        <v>0</v>
      </c>
      <c r="U119" s="54" t="n">
        <f aca="false">U90+U91+U92+U93</f>
        <v>0</v>
      </c>
      <c r="V119" s="54" t="n">
        <f aca="false">V90+V91+V92+V93</f>
        <v>55031.2014</v>
      </c>
      <c r="W119" s="54" t="n">
        <f aca="false">W90+W91+W92+W93</f>
        <v>0</v>
      </c>
      <c r="X119" s="54" t="n">
        <f aca="false">X90+X91+X92+X93</f>
        <v>55031.2014</v>
      </c>
      <c r="Y119" s="54" t="n">
        <f aca="false">Y90+Y91+Y92+Y93</f>
        <v>0</v>
      </c>
      <c r="Z119" s="54" t="n">
        <f aca="false">Z90+Z91+Z92+Z93</f>
        <v>0</v>
      </c>
      <c r="AA119" s="54" t="n">
        <f aca="false">AA90+AA91+AA92+AA93</f>
        <v>0</v>
      </c>
      <c r="AB119" s="54" t="n">
        <f aca="false">AB90+AB91+AB92+AB93</f>
        <v>135000</v>
      </c>
      <c r="AC119" s="54" t="n">
        <f aca="false">AC90+AC91+AC92+AC93</f>
        <v>118800</v>
      </c>
      <c r="AD119" s="54" t="n">
        <f aca="false">AD90+AD91+AD92+AD93</f>
        <v>16200</v>
      </c>
      <c r="AE119" s="54" t="n">
        <f aca="false">AE90+AE91+AE92+AE93</f>
        <v>0</v>
      </c>
      <c r="AF119" s="54" t="n">
        <f aca="false">AF90+AF91+AF92+AF93</f>
        <v>0</v>
      </c>
      <c r="AG119" s="54" t="n">
        <f aca="false">AG90+AG91+AG92+AG93</f>
        <v>0</v>
      </c>
      <c r="AH119" s="54" t="n">
        <f aca="false">AH90+AH91+AH92+AH93</f>
        <v>0</v>
      </c>
      <c r="AI119" s="54" t="n">
        <f aca="false">AI90+AI91+AI92+AI93</f>
        <v>0</v>
      </c>
      <c r="AJ119" s="54" t="n">
        <f aca="false">AJ90+AJ91+AJ92+AJ93</f>
        <v>0</v>
      </c>
      <c r="AK119" s="54" t="n">
        <f aca="false">AK90+AK91+AK92+AK93</f>
        <v>0</v>
      </c>
      <c r="AL119" s="91"/>
      <c r="AM119" s="91"/>
    </row>
    <row r="120" customFormat="false" ht="27.75" hidden="false" customHeight="true" outlineLevel="0" collapsed="false">
      <c r="A120" s="18"/>
      <c r="B120" s="92" t="s">
        <v>545</v>
      </c>
      <c r="C120" s="92"/>
      <c r="D120" s="92"/>
      <c r="E120" s="92"/>
      <c r="F120" s="92"/>
      <c r="G120" s="92"/>
      <c r="H120" s="92"/>
      <c r="I120" s="54" t="n">
        <f aca="false">I94+I95+I96</f>
        <v>89220.9</v>
      </c>
      <c r="J120" s="54" t="n">
        <f aca="false">J94+J95+J96</f>
        <v>74320.9</v>
      </c>
      <c r="K120" s="54" t="n">
        <f aca="false">K94+K95+K96</f>
        <v>0</v>
      </c>
      <c r="L120" s="54" t="n">
        <f aca="false">L94+L95+L96</f>
        <v>74320.9</v>
      </c>
      <c r="M120" s="54" t="n">
        <f aca="false">M94+M95+M96</f>
        <v>0</v>
      </c>
      <c r="N120" s="54" t="n">
        <f aca="false">N94+N95+N96</f>
        <v>0</v>
      </c>
      <c r="O120" s="54" t="n">
        <f aca="false">O94+O95+O96</f>
        <v>0</v>
      </c>
      <c r="P120" s="54" t="n">
        <f aca="false">P94+P95+P96</f>
        <v>14900</v>
      </c>
      <c r="Q120" s="54" t="n">
        <f aca="false">Q94+Q95+Q96</f>
        <v>0</v>
      </c>
      <c r="R120" s="54" t="n">
        <f aca="false">R94+R95+R96</f>
        <v>14900</v>
      </c>
      <c r="S120" s="54" t="n">
        <f aca="false">S94+S95+S96</f>
        <v>0</v>
      </c>
      <c r="T120" s="54" t="n">
        <f aca="false">T94+T95+T96</f>
        <v>0</v>
      </c>
      <c r="U120" s="54" t="n">
        <f aca="false">U94+U95+U96</f>
        <v>0</v>
      </c>
      <c r="V120" s="54" t="n">
        <f aca="false">V94+V95+V96</f>
        <v>0</v>
      </c>
      <c r="W120" s="54" t="n">
        <f aca="false">W94+W95+W96</f>
        <v>0</v>
      </c>
      <c r="X120" s="54" t="n">
        <f aca="false">X94+X95+X96</f>
        <v>0</v>
      </c>
      <c r="Y120" s="54" t="n">
        <f aca="false">Y94+Y95+Y96</f>
        <v>0</v>
      </c>
      <c r="Z120" s="54" t="n">
        <f aca="false">Z94+Z95+Z96</f>
        <v>0</v>
      </c>
      <c r="AA120" s="54" t="n">
        <f aca="false">AA94+AA95+AA96</f>
        <v>0</v>
      </c>
      <c r="AB120" s="54" t="n">
        <f aca="false">AB94+AB95+AB96</f>
        <v>0</v>
      </c>
      <c r="AC120" s="54" t="n">
        <f aca="false">AC94+AC95+AC96</f>
        <v>0</v>
      </c>
      <c r="AD120" s="54" t="n">
        <f aca="false">AD94+AD95+AD96</f>
        <v>0</v>
      </c>
      <c r="AE120" s="54" t="n">
        <f aca="false">AE94+AE95+AE96</f>
        <v>0</v>
      </c>
      <c r="AF120" s="54" t="n">
        <f aca="false">AF94+AF95+AF96</f>
        <v>0</v>
      </c>
      <c r="AG120" s="54" t="n">
        <f aca="false">AG94+AG95+AG96</f>
        <v>0</v>
      </c>
      <c r="AH120" s="54" t="n">
        <f aca="false">AH94+AH95+AH96</f>
        <v>0</v>
      </c>
      <c r="AI120" s="54" t="n">
        <f aca="false">AI94+AI95+AI96</f>
        <v>0</v>
      </c>
      <c r="AJ120" s="54" t="n">
        <f aca="false">AJ94+AJ95+AJ96</f>
        <v>0</v>
      </c>
      <c r="AK120" s="54" t="n">
        <f aca="false">AK94+AK95+AK96</f>
        <v>0</v>
      </c>
      <c r="AL120" s="91"/>
      <c r="AM120" s="91"/>
    </row>
    <row r="121" customFormat="false" ht="27.75" hidden="false" customHeight="true" outlineLevel="0" collapsed="false">
      <c r="A121" s="18"/>
      <c r="B121" s="92" t="s">
        <v>567</v>
      </c>
      <c r="C121" s="92"/>
      <c r="D121" s="92"/>
      <c r="E121" s="92"/>
      <c r="F121" s="92"/>
      <c r="G121" s="92"/>
      <c r="H121" s="92"/>
      <c r="I121" s="54" t="n">
        <f aca="false">I97+I98+I99+I100+I101</f>
        <v>3391410.84585</v>
      </c>
      <c r="J121" s="54" t="n">
        <f aca="false">J97+J98+J99+J100+J101</f>
        <v>2657410.84585</v>
      </c>
      <c r="K121" s="54" t="n">
        <f aca="false">K97+K98+K99+K100+K101</f>
        <v>0</v>
      </c>
      <c r="L121" s="54" t="n">
        <f aca="false">L97+L98+L99+L100+L101</f>
        <v>207400.985</v>
      </c>
      <c r="M121" s="54" t="n">
        <f aca="false">M97+M98+M99+M100+M101</f>
        <v>9.86085</v>
      </c>
      <c r="N121" s="54" t="n">
        <f aca="false">N97+N98+N99+N100+N101</f>
        <v>0</v>
      </c>
      <c r="O121" s="54" t="n">
        <f aca="false">O97+O98+O99+O100+O101</f>
        <v>2450000</v>
      </c>
      <c r="P121" s="54" t="n">
        <f aca="false">P97+P98+P99+P100+P101</f>
        <v>334000</v>
      </c>
      <c r="Q121" s="54" t="n">
        <f aca="false">Q97+Q98+Q99+Q100+Q101</f>
        <v>0</v>
      </c>
      <c r="R121" s="54" t="n">
        <f aca="false">R97+R98+R99+R100+R101</f>
        <v>333836</v>
      </c>
      <c r="S121" s="54" t="n">
        <f aca="false">S97+S98+S99+S100+S101</f>
        <v>164</v>
      </c>
      <c r="T121" s="54" t="n">
        <f aca="false">T97+T98+T99+T100+T101</f>
        <v>0</v>
      </c>
      <c r="U121" s="54" t="n">
        <f aca="false">U97+U98+U99+U100+U101</f>
        <v>0</v>
      </c>
      <c r="V121" s="54" t="n">
        <f aca="false">V97+V98+V99+V100+V101</f>
        <v>200000</v>
      </c>
      <c r="W121" s="54" t="n">
        <f aca="false">W97+W98+W99+W100+W101</f>
        <v>0</v>
      </c>
      <c r="X121" s="54" t="n">
        <f aca="false">X97+X98+X99+X100+X101</f>
        <v>199800</v>
      </c>
      <c r="Y121" s="54" t="n">
        <f aca="false">Y97+Y98+Y99+Y100+Y101</f>
        <v>200</v>
      </c>
      <c r="Z121" s="54" t="n">
        <f aca="false">Z97+Z98+Z99+Z100+Z101</f>
        <v>0</v>
      </c>
      <c r="AA121" s="54" t="n">
        <f aca="false">AA97+AA98+AA99+AA100+AA101</f>
        <v>0</v>
      </c>
      <c r="AB121" s="54" t="n">
        <f aca="false">AB97+AB98+AB99+AB100+AB101</f>
        <v>200000</v>
      </c>
      <c r="AC121" s="54" t="n">
        <f aca="false">AC97+AC98+AC99+AC100+AC101</f>
        <v>0</v>
      </c>
      <c r="AD121" s="54" t="n">
        <f aca="false">AD97+AD98+AD99+AD100+AD101</f>
        <v>199800</v>
      </c>
      <c r="AE121" s="54" t="n">
        <f aca="false">AE97+AE98+AE99+AE100+AE101</f>
        <v>200</v>
      </c>
      <c r="AF121" s="54" t="n">
        <f aca="false">AF97+AF98+AF99+AF100+AF101</f>
        <v>0</v>
      </c>
      <c r="AG121" s="54" t="n">
        <f aca="false">AG97+AG98+AG99+AG100+AG101</f>
        <v>0</v>
      </c>
      <c r="AH121" s="54" t="n">
        <f aca="false">AH97+AH98+AH99+AH100+AH101</f>
        <v>0</v>
      </c>
      <c r="AI121" s="54" t="n">
        <f aca="false">AI97+AI98+AI99+AI100+AI101</f>
        <v>0</v>
      </c>
      <c r="AJ121" s="54" t="n">
        <f aca="false">AJ97+AJ98+AJ99+AJ100+AJ101</f>
        <v>0</v>
      </c>
      <c r="AK121" s="54" t="n">
        <f aca="false">AK97+AK98+AK99+AK100+AK101</f>
        <v>0</v>
      </c>
      <c r="AL121" s="91"/>
      <c r="AM121" s="91"/>
    </row>
    <row r="122" customFormat="false" ht="27.75" hidden="false" customHeight="true" outlineLevel="0" collapsed="false">
      <c r="A122" s="18"/>
      <c r="B122" s="92" t="s">
        <v>592</v>
      </c>
      <c r="C122" s="92"/>
      <c r="D122" s="92"/>
      <c r="E122" s="92"/>
      <c r="F122" s="92"/>
      <c r="G122" s="92"/>
      <c r="H122" s="92"/>
      <c r="I122" s="54" t="n">
        <f aca="false">I102</f>
        <v>986687.56667</v>
      </c>
      <c r="J122" s="54" t="n">
        <f aca="false">J102</f>
        <v>693939.4</v>
      </c>
      <c r="K122" s="54" t="n">
        <f aca="false">K102</f>
        <v>687000</v>
      </c>
      <c r="L122" s="54" t="n">
        <f aca="false">L102</f>
        <v>6939.4</v>
      </c>
      <c r="M122" s="54" t="n">
        <f aca="false">M102</f>
        <v>0</v>
      </c>
      <c r="N122" s="54" t="n">
        <f aca="false">N102</f>
        <v>0</v>
      </c>
      <c r="O122" s="54" t="n">
        <f aca="false">O102</f>
        <v>0</v>
      </c>
      <c r="P122" s="54" t="n">
        <f aca="false">P102</f>
        <v>202861.5</v>
      </c>
      <c r="Q122" s="54" t="n">
        <f aca="false">Q102</f>
        <v>178518.1</v>
      </c>
      <c r="R122" s="54" t="n">
        <f aca="false">R102</f>
        <v>24343.4</v>
      </c>
      <c r="S122" s="54" t="n">
        <f aca="false">S102</f>
        <v>0</v>
      </c>
      <c r="T122" s="54" t="n">
        <f aca="false">T102</f>
        <v>0</v>
      </c>
      <c r="U122" s="54" t="n">
        <f aca="false">U102</f>
        <v>0</v>
      </c>
      <c r="V122" s="54" t="n">
        <f aca="false">V102</f>
        <v>89886.66667</v>
      </c>
      <c r="W122" s="54" t="n">
        <f aca="false">W102</f>
        <v>88987.8</v>
      </c>
      <c r="X122" s="54" t="n">
        <f aca="false">X102</f>
        <v>898.86667</v>
      </c>
      <c r="Y122" s="54" t="n">
        <f aca="false">Y102</f>
        <v>0</v>
      </c>
      <c r="Z122" s="54" t="n">
        <f aca="false">Z102</f>
        <v>0</v>
      </c>
      <c r="AA122" s="54" t="n">
        <f aca="false">AA102</f>
        <v>0</v>
      </c>
      <c r="AB122" s="54" t="n">
        <f aca="false">AB102</f>
        <v>0</v>
      </c>
      <c r="AC122" s="54" t="n">
        <f aca="false">AC102</f>
        <v>0</v>
      </c>
      <c r="AD122" s="54" t="n">
        <f aca="false">AD102</f>
        <v>0</v>
      </c>
      <c r="AE122" s="54" t="n">
        <f aca="false">AE102</f>
        <v>0</v>
      </c>
      <c r="AF122" s="54" t="n">
        <f aca="false">AF102</f>
        <v>0</v>
      </c>
      <c r="AG122" s="54" t="n">
        <f aca="false">AG102</f>
        <v>0</v>
      </c>
      <c r="AH122" s="54" t="n">
        <f aca="false">AH102</f>
        <v>0</v>
      </c>
      <c r="AI122" s="54" t="n">
        <f aca="false">AI102</f>
        <v>0</v>
      </c>
      <c r="AJ122" s="54" t="n">
        <f aca="false">AJ102</f>
        <v>0</v>
      </c>
      <c r="AK122" s="54" t="n">
        <f aca="false">AK102</f>
        <v>0</v>
      </c>
      <c r="AL122" s="91"/>
      <c r="AM122" s="91"/>
    </row>
    <row r="123" customFormat="false" ht="27.75" hidden="false" customHeight="true" outlineLevel="0" collapsed="false">
      <c r="A123" s="18"/>
      <c r="B123" s="92" t="s">
        <v>598</v>
      </c>
      <c r="C123" s="92"/>
      <c r="D123" s="92"/>
      <c r="E123" s="92"/>
      <c r="F123" s="92"/>
      <c r="G123" s="92"/>
      <c r="H123" s="92"/>
      <c r="I123" s="54" t="n">
        <f aca="false">I103+I104+I105+I106</f>
        <v>4671872.61686</v>
      </c>
      <c r="J123" s="54" t="n">
        <f aca="false">J103+J104+J105+J106</f>
        <v>1216033.35518</v>
      </c>
      <c r="K123" s="54" t="n">
        <f aca="false">K103+K104+K105+K106</f>
        <v>879752.2</v>
      </c>
      <c r="L123" s="54" t="n">
        <f aca="false">L103+L104+L105+L106</f>
        <v>8886.38589</v>
      </c>
      <c r="M123" s="54" t="n">
        <f aca="false">M103+M104+M105+M106</f>
        <v>126801.21884</v>
      </c>
      <c r="N123" s="54" t="n">
        <f aca="false">N103+N104+N105+N106</f>
        <v>0</v>
      </c>
      <c r="O123" s="54" t="n">
        <f aca="false">O103+O104+O105+O106</f>
        <v>200593.55045</v>
      </c>
      <c r="P123" s="54" t="n">
        <f aca="false">P103+P104+P105+P106</f>
        <v>2209750.66506</v>
      </c>
      <c r="Q123" s="54" t="n">
        <f aca="false">Q103+Q104+Q105+Q106</f>
        <v>2035606.3</v>
      </c>
      <c r="R123" s="54" t="n">
        <f aca="false">R103+R104+R105+R106</f>
        <v>7629.46482</v>
      </c>
      <c r="S123" s="54" t="n">
        <f aca="false">S103+S104+S105+S106</f>
        <v>6457.66534</v>
      </c>
      <c r="T123" s="54" t="n">
        <f aca="false">T103+T104+T105+T106</f>
        <v>0</v>
      </c>
      <c r="U123" s="54" t="n">
        <f aca="false">U103+U104+U105+U106</f>
        <v>160057.2349</v>
      </c>
      <c r="V123" s="54" t="n">
        <f aca="false">V103+V104+V105+V106</f>
        <v>1246088.59662</v>
      </c>
      <c r="W123" s="54" t="n">
        <f aca="false">W103+W104+W105+W106</f>
        <v>1231183.1</v>
      </c>
      <c r="X123" s="54" t="n">
        <f aca="false">X103+X104+X105+X106</f>
        <v>13748.23762</v>
      </c>
      <c r="Y123" s="54" t="n">
        <f aca="false">Y103+Y104+Y105+Y106</f>
        <v>1157.259</v>
      </c>
      <c r="Z123" s="54" t="n">
        <f aca="false">Z103+Z104+Z105+Z106</f>
        <v>0</v>
      </c>
      <c r="AA123" s="54" t="n">
        <f aca="false">AA103+AA104+AA105+AA106</f>
        <v>0</v>
      </c>
      <c r="AB123" s="54" t="n">
        <f aca="false">AB103+AB104+AB105+AB106</f>
        <v>0</v>
      </c>
      <c r="AC123" s="54" t="n">
        <f aca="false">AC103+AC104+AC105+AC106</f>
        <v>0</v>
      </c>
      <c r="AD123" s="54" t="n">
        <f aca="false">AD103+AD104+AD105+AD106</f>
        <v>0</v>
      </c>
      <c r="AE123" s="54" t="n">
        <f aca="false">AE103+AE104+AE105+AE106</f>
        <v>0</v>
      </c>
      <c r="AF123" s="54" t="n">
        <f aca="false">AF103+AF104+AF105+AF106</f>
        <v>0</v>
      </c>
      <c r="AG123" s="54" t="n">
        <f aca="false">AG103+AG104+AG105+AG106</f>
        <v>0</v>
      </c>
      <c r="AH123" s="54" t="n">
        <f aca="false">AH103+AH104+AH105+AH106</f>
        <v>0</v>
      </c>
      <c r="AI123" s="54" t="n">
        <f aca="false">AI103+AI104+AI105+AI106</f>
        <v>0</v>
      </c>
      <c r="AJ123" s="54" t="n">
        <f aca="false">AJ103+AJ104+AJ105+AJ106</f>
        <v>0</v>
      </c>
      <c r="AK123" s="54" t="n">
        <f aca="false">AK103+AK104+AK105+AK106</f>
        <v>0</v>
      </c>
      <c r="AL123" s="91"/>
      <c r="AM123" s="91"/>
    </row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9:A123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18239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2025-07-11T10:21:11Z</dcterms:modified>
  <cp:revision>630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